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UAR-FIN-003\Desktop\Rendición cuentas 2021\"/>
    </mc:Choice>
  </mc:AlternateContent>
  <bookViews>
    <workbookView xWindow="0" yWindow="0" windowWidth="20490" windowHeight="7650"/>
  </bookViews>
  <sheets>
    <sheet name="PROCESOS SOCE" sheetId="1" r:id="rId1"/>
    <sheet name="RESUMEN EJECUTIVO FINAL" sheetId="9" state="hidden" r:id="rId2"/>
    <sheet name="AHORROS ACTUALIZADOS" sheetId="7" state="hidden" r:id="rId3"/>
    <sheet name="CUADRO DE PROCESOS" sheetId="4" state="hidden" r:id="rId4"/>
    <sheet name="Hoja3" sheetId="3" state="hidden" r:id="rId5"/>
    <sheet name="AHORROS" sheetId="5" state="hidden" r:id="rId6"/>
    <sheet name="Hoja1" sheetId="8" state="hidden" r:id="rId7"/>
  </sheets>
  <definedNames>
    <definedName name="_xlnm._FilterDatabase" localSheetId="2" hidden="1">'AHORROS ACTUALIZADOS'!$A$1:$N$147</definedName>
    <definedName name="_xlnm._FilterDatabase" localSheetId="0" hidden="1">'PROCESOS SOCE'!$A$1:$W$99</definedName>
  </definedNames>
  <calcPr calcId="162913"/>
</workbook>
</file>

<file path=xl/calcChain.xml><?xml version="1.0" encoding="utf-8"?>
<calcChain xmlns="http://schemas.openxmlformats.org/spreadsheetml/2006/main">
  <c r="K100" i="1" l="1"/>
  <c r="I61" i="1" l="1"/>
  <c r="V96" i="1" l="1"/>
  <c r="V97" i="1"/>
  <c r="V98" i="1"/>
  <c r="V99" i="1"/>
  <c r="V95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58" i="1"/>
  <c r="L99" i="1"/>
  <c r="M99" i="1" s="1"/>
  <c r="I98" i="1"/>
  <c r="J98" i="1" s="1"/>
  <c r="H98" i="1"/>
  <c r="I97" i="1"/>
  <c r="J97" i="1" s="1"/>
  <c r="H97" i="1"/>
  <c r="I96" i="1"/>
  <c r="J96" i="1" s="1"/>
  <c r="H96" i="1"/>
  <c r="I95" i="1"/>
  <c r="J95" i="1" s="1"/>
  <c r="H95" i="1"/>
  <c r="I94" i="1"/>
  <c r="J94" i="1" s="1"/>
  <c r="H94" i="1"/>
  <c r="I93" i="1"/>
  <c r="J93" i="1" s="1"/>
  <c r="H93" i="1"/>
  <c r="I92" i="1"/>
  <c r="J92" i="1" s="1"/>
  <c r="H92" i="1"/>
  <c r="I91" i="1"/>
  <c r="J91" i="1" s="1"/>
  <c r="H91" i="1"/>
  <c r="I90" i="1"/>
  <c r="J90" i="1" s="1"/>
  <c r="H90" i="1"/>
  <c r="I89" i="1"/>
  <c r="J89" i="1" s="1"/>
  <c r="H89" i="1"/>
  <c r="L89" i="1" s="1"/>
  <c r="M89" i="1" s="1"/>
  <c r="I88" i="1"/>
  <c r="H88" i="1"/>
  <c r="I87" i="1"/>
  <c r="H87" i="1"/>
  <c r="I86" i="1"/>
  <c r="J86" i="1" s="1"/>
  <c r="H86" i="1"/>
  <c r="I85" i="1"/>
  <c r="J85" i="1" s="1"/>
  <c r="H85" i="1"/>
  <c r="L85" i="1" s="1"/>
  <c r="M85" i="1" s="1"/>
  <c r="I84" i="1"/>
  <c r="J84" i="1" s="1"/>
  <c r="H84" i="1"/>
  <c r="I83" i="1"/>
  <c r="J83" i="1" s="1"/>
  <c r="H83" i="1"/>
  <c r="I82" i="1"/>
  <c r="J82" i="1" s="1"/>
  <c r="H82" i="1"/>
  <c r="I81" i="1"/>
  <c r="J81" i="1" s="1"/>
  <c r="H81" i="1"/>
  <c r="I80" i="1"/>
  <c r="J80" i="1" s="1"/>
  <c r="H80" i="1"/>
  <c r="I79" i="1"/>
  <c r="J79" i="1" s="1"/>
  <c r="H79" i="1"/>
  <c r="I78" i="1"/>
  <c r="J78" i="1" s="1"/>
  <c r="H78" i="1"/>
  <c r="I77" i="1"/>
  <c r="J77" i="1" s="1"/>
  <c r="H77" i="1"/>
  <c r="L77" i="1" s="1"/>
  <c r="M77" i="1" s="1"/>
  <c r="I76" i="1"/>
  <c r="J76" i="1" s="1"/>
  <c r="H76" i="1"/>
  <c r="I75" i="1"/>
  <c r="J75" i="1" s="1"/>
  <c r="H75" i="1"/>
  <c r="I74" i="1"/>
  <c r="J74" i="1" s="1"/>
  <c r="H74" i="1"/>
  <c r="I73" i="1"/>
  <c r="J73" i="1" s="1"/>
  <c r="H73" i="1"/>
  <c r="I72" i="1"/>
  <c r="J72" i="1" s="1"/>
  <c r="H72" i="1"/>
  <c r="I71" i="1"/>
  <c r="J71" i="1" s="1"/>
  <c r="H71" i="1"/>
  <c r="I70" i="1"/>
  <c r="J70" i="1" s="1"/>
  <c r="H70" i="1"/>
  <c r="I69" i="1"/>
  <c r="J69" i="1" s="1"/>
  <c r="H69" i="1"/>
  <c r="L69" i="1" s="1"/>
  <c r="M69" i="1" s="1"/>
  <c r="I68" i="1"/>
  <c r="J68" i="1" s="1"/>
  <c r="H68" i="1"/>
  <c r="I67" i="1"/>
  <c r="J67" i="1" s="1"/>
  <c r="H67" i="1"/>
  <c r="L67" i="1" s="1"/>
  <c r="M67" i="1" s="1"/>
  <c r="I66" i="1"/>
  <c r="J66" i="1" s="1"/>
  <c r="H66" i="1"/>
  <c r="I65" i="1"/>
  <c r="J65" i="1" s="1"/>
  <c r="H65" i="1"/>
  <c r="I64" i="1"/>
  <c r="J64" i="1" s="1"/>
  <c r="H64" i="1"/>
  <c r="I63" i="1"/>
  <c r="J63" i="1" s="1"/>
  <c r="H63" i="1"/>
  <c r="I62" i="1"/>
  <c r="J62" i="1" s="1"/>
  <c r="H62" i="1"/>
  <c r="J61" i="1"/>
  <c r="H61" i="1"/>
  <c r="I60" i="1"/>
  <c r="J60" i="1" s="1"/>
  <c r="H60" i="1"/>
  <c r="I59" i="1"/>
  <c r="H59" i="1"/>
  <c r="J58" i="1"/>
  <c r="K58" i="1" s="1"/>
  <c r="H58" i="1"/>
  <c r="L58" i="1" s="1"/>
  <c r="M58" i="1" s="1"/>
  <c r="L97" i="1" l="1"/>
  <c r="M97" i="1" s="1"/>
  <c r="L75" i="1"/>
  <c r="M75" i="1" s="1"/>
  <c r="L83" i="1"/>
  <c r="M83" i="1" s="1"/>
  <c r="L62" i="1"/>
  <c r="M62" i="1" s="1"/>
  <c r="L66" i="1"/>
  <c r="M66" i="1" s="1"/>
  <c r="L70" i="1"/>
  <c r="M70" i="1" s="1"/>
  <c r="L74" i="1"/>
  <c r="M74" i="1" s="1"/>
  <c r="L78" i="1"/>
  <c r="M78" i="1" s="1"/>
  <c r="L82" i="1"/>
  <c r="M82" i="1" s="1"/>
  <c r="L86" i="1"/>
  <c r="M86" i="1" s="1"/>
  <c r="L94" i="1"/>
  <c r="M94" i="1" s="1"/>
  <c r="L92" i="1"/>
  <c r="M92" i="1" s="1"/>
  <c r="L96" i="1"/>
  <c r="M96" i="1" s="1"/>
  <c r="L73" i="1"/>
  <c r="M73" i="1" s="1"/>
  <c r="L76" i="1"/>
  <c r="M76" i="1" s="1"/>
  <c r="L65" i="1"/>
  <c r="M65" i="1" s="1"/>
  <c r="L68" i="1"/>
  <c r="M68" i="1" s="1"/>
  <c r="L81" i="1"/>
  <c r="M81" i="1" s="1"/>
  <c r="L84" i="1"/>
  <c r="M84" i="1" s="1"/>
  <c r="L91" i="1"/>
  <c r="M91" i="1" s="1"/>
  <c r="L95" i="1"/>
  <c r="M95" i="1" s="1"/>
  <c r="J88" i="1"/>
  <c r="K88" i="1" s="1"/>
  <c r="L60" i="1"/>
  <c r="M60" i="1" s="1"/>
  <c r="L63" i="1"/>
  <c r="M63" i="1" s="1"/>
  <c r="L71" i="1"/>
  <c r="M71" i="1" s="1"/>
  <c r="L79" i="1"/>
  <c r="M79" i="1" s="1"/>
  <c r="L87" i="1"/>
  <c r="M87" i="1" s="1"/>
  <c r="L90" i="1"/>
  <c r="M90" i="1" s="1"/>
  <c r="L98" i="1"/>
  <c r="M98" i="1" s="1"/>
  <c r="L59" i="1"/>
  <c r="M59" i="1" s="1"/>
  <c r="L64" i="1"/>
  <c r="M64" i="1" s="1"/>
  <c r="L72" i="1"/>
  <c r="M72" i="1" s="1"/>
  <c r="L80" i="1"/>
  <c r="M80" i="1" s="1"/>
  <c r="L88" i="1"/>
  <c r="M88" i="1" s="1"/>
  <c r="L93" i="1"/>
  <c r="M93" i="1" s="1"/>
  <c r="L61" i="1"/>
  <c r="M61" i="1" s="1"/>
  <c r="J59" i="1"/>
  <c r="J87" i="1"/>
  <c r="K87" i="1" s="1"/>
  <c r="V40" i="1" l="1"/>
  <c r="J40" i="1"/>
  <c r="K40" i="1" s="1"/>
  <c r="L40" i="1"/>
  <c r="M40" i="1" s="1"/>
  <c r="V39" i="1"/>
  <c r="J39" i="1"/>
  <c r="K39" i="1" s="1"/>
  <c r="L39" i="1"/>
  <c r="M39" i="1" s="1"/>
  <c r="V38" i="1"/>
  <c r="J38" i="1"/>
  <c r="K38" i="1" s="1"/>
  <c r="L38" i="1"/>
  <c r="M38" i="1" s="1"/>
  <c r="V37" i="1"/>
  <c r="J37" i="1"/>
  <c r="K37" i="1" s="1"/>
  <c r="L37" i="1"/>
  <c r="M37" i="1" s="1"/>
  <c r="V36" i="1"/>
  <c r="J36" i="1"/>
  <c r="K36" i="1" s="1"/>
  <c r="L36" i="1"/>
  <c r="M36" i="1" s="1"/>
  <c r="V35" i="1" l="1"/>
  <c r="J35" i="1"/>
  <c r="K35" i="1" s="1"/>
  <c r="L35" i="1"/>
  <c r="M35" i="1" s="1"/>
  <c r="V34" i="1"/>
  <c r="J34" i="1"/>
  <c r="K34" i="1" s="1"/>
  <c r="L34" i="1"/>
  <c r="M34" i="1" s="1"/>
  <c r="V33" i="1"/>
  <c r="L33" i="1"/>
  <c r="M33" i="1" s="1"/>
  <c r="J33" i="1"/>
  <c r="K33" i="1" s="1"/>
  <c r="V32" i="1"/>
  <c r="J32" i="1"/>
  <c r="K32" i="1" s="1"/>
  <c r="L32" i="1"/>
  <c r="M32" i="1" s="1"/>
  <c r="V25" i="1" l="1"/>
  <c r="V26" i="1"/>
  <c r="V27" i="1"/>
  <c r="V28" i="1"/>
  <c r="V29" i="1"/>
  <c r="V30" i="1"/>
  <c r="V31" i="1"/>
  <c r="V24" i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23" i="1"/>
  <c r="K23" i="1" s="1"/>
  <c r="V23" i="1"/>
  <c r="L23" i="1"/>
  <c r="M23" i="1" s="1"/>
  <c r="L56" i="1" l="1"/>
  <c r="M56" i="1" s="1"/>
  <c r="J56" i="1"/>
  <c r="K56" i="1" s="1"/>
  <c r="L55" i="1"/>
  <c r="M55" i="1" s="1"/>
  <c r="J55" i="1"/>
  <c r="K55" i="1" s="1"/>
  <c r="L54" i="1"/>
  <c r="M54" i="1" s="1"/>
  <c r="J54" i="1"/>
  <c r="K54" i="1" s="1"/>
  <c r="L53" i="1"/>
  <c r="M53" i="1" s="1"/>
  <c r="J53" i="1"/>
  <c r="K53" i="1" s="1"/>
  <c r="L52" i="1"/>
  <c r="M52" i="1" s="1"/>
  <c r="J52" i="1"/>
  <c r="K52" i="1" s="1"/>
  <c r="L51" i="1"/>
  <c r="M51" i="1" s="1"/>
  <c r="J51" i="1"/>
  <c r="K51" i="1" s="1"/>
  <c r="L49" i="1"/>
  <c r="M49" i="1" s="1"/>
  <c r="J49" i="1"/>
  <c r="K49" i="1" s="1"/>
  <c r="L48" i="1"/>
  <c r="M48" i="1" s="1"/>
  <c r="J48" i="1"/>
  <c r="K48" i="1" s="1"/>
  <c r="L47" i="1"/>
  <c r="M47" i="1" s="1"/>
  <c r="J47" i="1"/>
  <c r="K47" i="1" s="1"/>
  <c r="L46" i="1"/>
  <c r="M46" i="1" s="1"/>
  <c r="J46" i="1"/>
  <c r="K46" i="1" s="1"/>
  <c r="L57" i="1"/>
  <c r="M57" i="1" s="1"/>
  <c r="J57" i="1"/>
  <c r="K57" i="1" s="1"/>
  <c r="L45" i="1"/>
  <c r="M45" i="1" s="1"/>
  <c r="J45" i="1"/>
  <c r="K45" i="1" s="1"/>
  <c r="L44" i="1"/>
  <c r="M44" i="1" s="1"/>
  <c r="J44" i="1"/>
  <c r="K44" i="1" s="1"/>
  <c r="L43" i="1"/>
  <c r="M43" i="1" s="1"/>
  <c r="J43" i="1"/>
  <c r="K43" i="1" s="1"/>
  <c r="L42" i="1"/>
  <c r="M42" i="1" s="1"/>
  <c r="J42" i="1"/>
  <c r="K42" i="1" s="1"/>
  <c r="L41" i="1"/>
  <c r="M41" i="1" s="1"/>
  <c r="J41" i="1"/>
  <c r="K41" i="1" s="1"/>
  <c r="G30" i="9" l="1"/>
  <c r="I30" i="9"/>
  <c r="I31" i="9"/>
  <c r="J29" i="9" s="1"/>
  <c r="J26" i="9" l="1"/>
  <c r="J22" i="9"/>
  <c r="J25" i="9"/>
  <c r="J21" i="9"/>
  <c r="J18" i="9"/>
  <c r="J24" i="9"/>
  <c r="J20" i="9"/>
  <c r="J28" i="9"/>
  <c r="J27" i="9"/>
  <c r="J23" i="9"/>
  <c r="J19" i="9"/>
  <c r="C22" i="9"/>
  <c r="E22" i="9" s="1"/>
  <c r="C20" i="9"/>
  <c r="E20" i="9" s="1"/>
  <c r="C19" i="9"/>
  <c r="E19" i="9" s="1"/>
  <c r="C18" i="9"/>
  <c r="E18" i="9" s="1"/>
  <c r="C23" i="9"/>
  <c r="E23" i="9" s="1"/>
  <c r="E21" i="9"/>
  <c r="E24" i="9"/>
  <c r="E25" i="9"/>
  <c r="E26" i="9"/>
  <c r="D27" i="9"/>
  <c r="C14" i="9"/>
  <c r="J30" i="9" l="1"/>
  <c r="E27" i="9"/>
  <c r="C27" i="9"/>
  <c r="L142" i="7" l="1"/>
  <c r="J142" i="7"/>
  <c r="K142" i="7" s="1"/>
  <c r="L141" i="7"/>
  <c r="J141" i="7"/>
  <c r="K141" i="7" s="1"/>
  <c r="L137" i="7"/>
  <c r="J137" i="7"/>
  <c r="K137" i="7" s="1"/>
  <c r="J136" i="7"/>
  <c r="K136" i="7" s="1"/>
  <c r="L135" i="7"/>
  <c r="J135" i="7"/>
  <c r="K135" i="7" s="1"/>
  <c r="L133" i="7"/>
  <c r="J133" i="7"/>
  <c r="K133" i="7" s="1"/>
  <c r="L132" i="7"/>
  <c r="J132" i="7"/>
  <c r="K132" i="7" s="1"/>
  <c r="L131" i="7"/>
  <c r="J131" i="7"/>
  <c r="K131" i="7" s="1"/>
  <c r="L130" i="7"/>
  <c r="J130" i="7"/>
  <c r="K130" i="7" s="1"/>
  <c r="L127" i="7"/>
  <c r="J127" i="7"/>
  <c r="K127" i="7" s="1"/>
  <c r="L126" i="7"/>
  <c r="J126" i="7"/>
  <c r="K126" i="7" s="1"/>
  <c r="L124" i="7"/>
  <c r="J124" i="7"/>
  <c r="K124" i="7" s="1"/>
  <c r="L123" i="7"/>
  <c r="J123" i="7"/>
  <c r="K123" i="7" s="1"/>
  <c r="L121" i="7"/>
  <c r="J121" i="7"/>
  <c r="K121" i="7" s="1"/>
  <c r="L120" i="7"/>
  <c r="J120" i="7"/>
  <c r="K120" i="7" s="1"/>
  <c r="L119" i="7"/>
  <c r="J119" i="7"/>
  <c r="K119" i="7" s="1"/>
  <c r="L118" i="7"/>
  <c r="J118" i="7"/>
  <c r="K118" i="7" s="1"/>
  <c r="L117" i="7"/>
  <c r="J117" i="7"/>
  <c r="K117" i="7" s="1"/>
  <c r="L113" i="7"/>
  <c r="J113" i="7"/>
  <c r="K113" i="7" s="1"/>
  <c r="L112" i="7"/>
  <c r="J112" i="7"/>
  <c r="K112" i="7" s="1"/>
  <c r="L111" i="7"/>
  <c r="J111" i="7"/>
  <c r="K111" i="7" s="1"/>
  <c r="L110" i="7"/>
  <c r="J110" i="7"/>
  <c r="K110" i="7" s="1"/>
  <c r="L109" i="7"/>
  <c r="J109" i="7"/>
  <c r="K109" i="7" s="1"/>
  <c r="L107" i="7"/>
  <c r="J107" i="7"/>
  <c r="K107" i="7" s="1"/>
  <c r="L104" i="7"/>
  <c r="J104" i="7"/>
  <c r="K104" i="7" s="1"/>
  <c r="L103" i="7"/>
  <c r="J103" i="7"/>
  <c r="K103" i="7" s="1"/>
  <c r="L99" i="7"/>
  <c r="J99" i="7"/>
  <c r="K99" i="7" s="1"/>
  <c r="L98" i="7"/>
  <c r="J98" i="7"/>
  <c r="K98" i="7" s="1"/>
  <c r="L97" i="7"/>
  <c r="J97" i="7"/>
  <c r="K97" i="7" s="1"/>
  <c r="L93" i="7"/>
  <c r="J93" i="7"/>
  <c r="K93" i="7" s="1"/>
  <c r="L92" i="7"/>
  <c r="J92" i="7"/>
  <c r="K92" i="7" s="1"/>
  <c r="L89" i="7"/>
  <c r="J89" i="7"/>
  <c r="K89" i="7" s="1"/>
  <c r="L87" i="7"/>
  <c r="J87" i="7"/>
  <c r="K87" i="7" s="1"/>
  <c r="L86" i="7"/>
  <c r="J86" i="7"/>
  <c r="K86" i="7" s="1"/>
  <c r="L81" i="7"/>
  <c r="J81" i="7"/>
  <c r="K81" i="7" s="1"/>
  <c r="L79" i="7"/>
  <c r="J79" i="7"/>
  <c r="K79" i="7" s="1"/>
  <c r="L77" i="7"/>
  <c r="J77" i="7"/>
  <c r="K77" i="7" s="1"/>
  <c r="L76" i="7"/>
  <c r="J76" i="7"/>
  <c r="K76" i="7" s="1"/>
  <c r="L75" i="7"/>
  <c r="J75" i="7"/>
  <c r="K75" i="7" s="1"/>
  <c r="L74" i="7"/>
  <c r="J74" i="7"/>
  <c r="K74" i="7" s="1"/>
  <c r="L71" i="7"/>
  <c r="J71" i="7"/>
  <c r="K71" i="7" s="1"/>
  <c r="L69" i="7"/>
  <c r="J69" i="7"/>
  <c r="K69" i="7" s="1"/>
  <c r="L68" i="7"/>
  <c r="J68" i="7"/>
  <c r="K68" i="7" s="1"/>
  <c r="L67" i="7"/>
  <c r="J67" i="7"/>
  <c r="K67" i="7" s="1"/>
  <c r="L66" i="7"/>
  <c r="J66" i="7"/>
  <c r="K66" i="7" s="1"/>
  <c r="L65" i="7"/>
  <c r="J65" i="7"/>
  <c r="K65" i="7" s="1"/>
  <c r="L63" i="7"/>
  <c r="J63" i="7"/>
  <c r="K63" i="7" s="1"/>
  <c r="L61" i="7"/>
  <c r="J61" i="7"/>
  <c r="K61" i="7" s="1"/>
  <c r="L59" i="7"/>
  <c r="J59" i="7"/>
  <c r="K59" i="7" s="1"/>
  <c r="L58" i="7"/>
  <c r="J58" i="7"/>
  <c r="K58" i="7" s="1"/>
  <c r="L57" i="7"/>
  <c r="J57" i="7"/>
  <c r="K57" i="7" s="1"/>
  <c r="L56" i="7"/>
  <c r="J56" i="7"/>
  <c r="K56" i="7" s="1"/>
  <c r="L54" i="7"/>
  <c r="J54" i="7"/>
  <c r="K54" i="7" s="1"/>
  <c r="L53" i="7"/>
  <c r="J53" i="7"/>
  <c r="K53" i="7" s="1"/>
  <c r="L48" i="7"/>
  <c r="J48" i="7"/>
  <c r="K48" i="7" s="1"/>
  <c r="L47" i="7"/>
  <c r="J47" i="7"/>
  <c r="K47" i="7" s="1"/>
  <c r="L46" i="7"/>
  <c r="J46" i="7"/>
  <c r="K46" i="7" s="1"/>
  <c r="L45" i="7"/>
  <c r="J45" i="7"/>
  <c r="K45" i="7" s="1"/>
  <c r="L43" i="7"/>
  <c r="J43" i="7"/>
  <c r="K43" i="7" s="1"/>
  <c r="L42" i="7"/>
  <c r="J42" i="7"/>
  <c r="K42" i="7" s="1"/>
  <c r="J41" i="7"/>
  <c r="K41" i="7" s="1"/>
  <c r="L38" i="7"/>
  <c r="K38" i="7"/>
  <c r="L37" i="7"/>
  <c r="K37" i="7"/>
  <c r="L35" i="7"/>
  <c r="J35" i="7"/>
  <c r="K35" i="7" s="1"/>
  <c r="L33" i="7"/>
  <c r="J33" i="7"/>
  <c r="K33" i="7" s="1"/>
  <c r="L28" i="7"/>
  <c r="K28" i="7"/>
  <c r="L27" i="7"/>
  <c r="J27" i="7"/>
  <c r="K27" i="7" s="1"/>
  <c r="L26" i="7"/>
  <c r="K26" i="7"/>
  <c r="L24" i="7"/>
  <c r="J24" i="7"/>
  <c r="K24" i="7" s="1"/>
  <c r="L23" i="7"/>
  <c r="J23" i="7"/>
  <c r="K23" i="7" s="1"/>
  <c r="L21" i="7"/>
  <c r="J21" i="7"/>
  <c r="K21" i="7" s="1"/>
  <c r="L18" i="7"/>
  <c r="J18" i="7"/>
  <c r="K18" i="7" s="1"/>
  <c r="L17" i="7"/>
  <c r="J17" i="7"/>
  <c r="K17" i="7" s="1"/>
  <c r="L16" i="7"/>
  <c r="J16" i="7"/>
  <c r="K16" i="7" s="1"/>
  <c r="L13" i="7"/>
  <c r="J13" i="7"/>
  <c r="K13" i="7" s="1"/>
  <c r="L12" i="7"/>
  <c r="J12" i="7"/>
  <c r="K12" i="7" s="1"/>
  <c r="L11" i="7"/>
  <c r="J11" i="7"/>
  <c r="K11" i="7" s="1"/>
  <c r="L10" i="7"/>
  <c r="J10" i="7"/>
  <c r="K10" i="7" s="1"/>
  <c r="L9" i="7"/>
  <c r="J9" i="7"/>
  <c r="K9" i="7" s="1"/>
  <c r="L6" i="7"/>
  <c r="J6" i="7"/>
  <c r="K6" i="7" s="1"/>
  <c r="L2" i="7"/>
  <c r="J2" i="7"/>
  <c r="K2" i="7" s="1"/>
  <c r="E29" i="5" l="1"/>
  <c r="F29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4" i="5"/>
  <c r="I24" i="4" l="1"/>
  <c r="I26" i="4"/>
  <c r="K19" i="4"/>
  <c r="K18" i="4"/>
  <c r="F18" i="4"/>
  <c r="I18" i="4" s="1"/>
  <c r="F19" i="4"/>
  <c r="I19" i="4" s="1"/>
  <c r="F20" i="4"/>
  <c r="I20" i="4" s="1"/>
  <c r="F21" i="4"/>
  <c r="I21" i="4" s="1"/>
  <c r="F22" i="4"/>
  <c r="I22" i="4" s="1"/>
  <c r="N22" i="4" s="1"/>
  <c r="F23" i="4"/>
  <c r="F25" i="4"/>
  <c r="I25" i="4" s="1"/>
  <c r="L18" i="4"/>
  <c r="N26" i="4"/>
  <c r="N24" i="4"/>
  <c r="E19" i="4"/>
  <c r="E20" i="4"/>
  <c r="E21" i="4"/>
  <c r="E22" i="4"/>
  <c r="E23" i="4"/>
  <c r="E24" i="4"/>
  <c r="E25" i="4"/>
  <c r="E26" i="4"/>
  <c r="E18" i="4"/>
  <c r="J19" i="4"/>
  <c r="N20" i="4" l="1"/>
  <c r="I23" i="4"/>
  <c r="N23" i="4" s="1"/>
  <c r="N25" i="4"/>
  <c r="N19" i="4"/>
  <c r="J18" i="4"/>
  <c r="N18" i="4" s="1"/>
  <c r="K21" i="4"/>
  <c r="K27" i="4" s="1"/>
  <c r="N21" i="4" l="1"/>
  <c r="G27" i="4"/>
  <c r="H27" i="4"/>
  <c r="J27" i="4"/>
  <c r="L27" i="4"/>
  <c r="F27" i="4"/>
  <c r="L14" i="4"/>
  <c r="C27" i="4" l="1"/>
  <c r="I27" i="4" s="1"/>
  <c r="G28" i="5" l="1"/>
  <c r="G29" i="5" s="1"/>
  <c r="M27" i="4" l="1"/>
  <c r="D27" i="4"/>
  <c r="E27" i="4" s="1"/>
  <c r="M14" i="4"/>
  <c r="K14" i="4"/>
  <c r="J14" i="4"/>
  <c r="G14" i="4"/>
  <c r="F14" i="4"/>
  <c r="D14" i="4"/>
  <c r="N13" i="4"/>
  <c r="N12" i="4"/>
  <c r="N11" i="4"/>
  <c r="N10" i="4"/>
  <c r="N9" i="4"/>
  <c r="N8" i="4"/>
  <c r="N7" i="4"/>
  <c r="N6" i="4"/>
  <c r="N5" i="4"/>
  <c r="R13" i="3"/>
  <c r="Q13" i="3"/>
  <c r="M20" i="3"/>
  <c r="M23" i="3"/>
  <c r="M24" i="3"/>
  <c r="M6" i="3"/>
  <c r="M7" i="3"/>
  <c r="M8" i="3"/>
  <c r="M9" i="3"/>
  <c r="M10" i="3"/>
  <c r="M11" i="3"/>
  <c r="M12" i="3"/>
  <c r="M13" i="3"/>
  <c r="M5" i="3"/>
  <c r="I28" i="3"/>
  <c r="I14" i="3"/>
  <c r="C28" i="3"/>
  <c r="C14" i="3"/>
  <c r="G28" i="3"/>
  <c r="G14" i="3"/>
  <c r="H14" i="3"/>
  <c r="F14" i="3"/>
  <c r="E14" i="3"/>
  <c r="L67" i="3"/>
  <c r="K67" i="3"/>
  <c r="J67" i="3"/>
  <c r="I67" i="3"/>
  <c r="H67" i="3"/>
  <c r="G67" i="3"/>
  <c r="F67" i="3"/>
  <c r="E67" i="3"/>
  <c r="D67" i="3"/>
  <c r="C67" i="3"/>
  <c r="M66" i="3"/>
  <c r="M65" i="3"/>
  <c r="M64" i="3"/>
  <c r="M63" i="3"/>
  <c r="M62" i="3"/>
  <c r="M61" i="3"/>
  <c r="M60" i="3"/>
  <c r="M59" i="3"/>
  <c r="M58" i="3"/>
  <c r="L53" i="3"/>
  <c r="K53" i="3"/>
  <c r="J53" i="3"/>
  <c r="I53" i="3"/>
  <c r="H53" i="3"/>
  <c r="G53" i="3"/>
  <c r="F53" i="3"/>
  <c r="E53" i="3"/>
  <c r="D53" i="3"/>
  <c r="C53" i="3"/>
  <c r="M52" i="3"/>
  <c r="M51" i="3"/>
  <c r="M50" i="3"/>
  <c r="M49" i="3"/>
  <c r="M48" i="3"/>
  <c r="M47" i="3"/>
  <c r="M46" i="3"/>
  <c r="M45" i="3"/>
  <c r="M44" i="3"/>
  <c r="D28" i="4" l="1"/>
  <c r="D29" i="4" s="1"/>
  <c r="N27" i="4"/>
  <c r="N14" i="4"/>
  <c r="M67" i="3"/>
  <c r="M53" i="3"/>
  <c r="D38" i="3" l="1"/>
  <c r="C38" i="3"/>
  <c r="L28" i="3" l="1"/>
  <c r="K28" i="3"/>
  <c r="J28" i="3"/>
  <c r="H28" i="3"/>
  <c r="F28" i="3"/>
  <c r="E28" i="3"/>
  <c r="D28" i="3"/>
  <c r="M27" i="3"/>
  <c r="M26" i="3"/>
  <c r="M25" i="3"/>
  <c r="M22" i="3"/>
  <c r="M21" i="3"/>
  <c r="M19" i="3"/>
  <c r="L14" i="3"/>
  <c r="K14" i="3"/>
  <c r="J14" i="3"/>
  <c r="D14" i="3"/>
  <c r="M14" i="3" l="1"/>
  <c r="M28" i="3"/>
</calcChain>
</file>

<file path=xl/comments1.xml><?xml version="1.0" encoding="utf-8"?>
<comments xmlns="http://schemas.openxmlformats.org/spreadsheetml/2006/main">
  <authors>
    <author>User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03MAY</t>
        </r>
      </text>
    </comment>
    <comment ref="G143" authorId="0" shapeId="0">
      <text>
        <r>
          <rPr>
            <b/>
            <sz val="9"/>
            <color indexed="81"/>
            <rFont val="Tahoma"/>
            <family val="2"/>
          </rPr>
          <t>28-OCT-2021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5" authorId="0" shapeId="0">
      <text>
        <r>
          <rPr>
            <b/>
            <sz val="9"/>
            <color indexed="81"/>
            <rFont val="Tahoma"/>
            <family val="2"/>
          </rPr>
          <t>03-NOV-2021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<sst xmlns="http://schemas.openxmlformats.org/spreadsheetml/2006/main" count="1789" uniqueCount="641">
  <si>
    <t>Código</t>
  </si>
  <si>
    <t>Entidad Contratante</t>
  </si>
  <si>
    <t>Estado del Proceso</t>
  </si>
  <si>
    <t>Provincia/Cantón</t>
  </si>
  <si>
    <t>Presupuesto Referencial Total(sin iva)</t>
  </si>
  <si>
    <t>Fecha de Publicación</t>
  </si>
  <si>
    <t>DIGMAT</t>
  </si>
  <si>
    <t>GUAYAS / GUAYAQUIL</t>
  </si>
  <si>
    <t>Presupuesto Adjudicado Total(sin iva)</t>
  </si>
  <si>
    <t>OPERADOR</t>
  </si>
  <si>
    <t>ADMINISTRADOR</t>
  </si>
  <si>
    <t xml:space="preserve">Fecha de Adjudicacion </t>
  </si>
  <si>
    <t>Fecha contrato</t>
  </si>
  <si>
    <t>Fecha estimada Finalizacion</t>
  </si>
  <si>
    <t>Tipo de Proceso</t>
  </si>
  <si>
    <t>Partida Presupuestaria</t>
  </si>
  <si>
    <t xml:space="preserve">Ahorro Generado </t>
  </si>
  <si>
    <t>Plazo de ejecucion</t>
  </si>
  <si>
    <t>Fecha anticipo</t>
  </si>
  <si>
    <t>Fecha estimada Finalizacion (A/C)</t>
  </si>
  <si>
    <t>RNE</t>
  </si>
  <si>
    <t>DIGLOG</t>
  </si>
  <si>
    <t>PROVEEDOR</t>
  </si>
  <si>
    <t>ORDEN</t>
  </si>
  <si>
    <t>IVA</t>
  </si>
  <si>
    <t>TOTAL</t>
  </si>
  <si>
    <t>NO DISPONIBLE</t>
  </si>
  <si>
    <t>$0.00</t>
  </si>
  <si>
    <t>DIRABA</t>
  </si>
  <si>
    <t>DIMARE</t>
  </si>
  <si>
    <t>COMSUB</t>
  </si>
  <si>
    <t>BASUIL</t>
  </si>
  <si>
    <t>DINCYP</t>
  </si>
  <si>
    <t>DIRSEG</t>
  </si>
  <si>
    <t>DIRTIC</t>
  </si>
  <si>
    <t>DINDES</t>
  </si>
  <si>
    <t>CUADRO RESUMEN DE PROCESOS POR REPARTO</t>
  </si>
  <si>
    <t>REPARTO</t>
  </si>
  <si>
    <t>SIE-DIGMAT-001-2021</t>
  </si>
  <si>
    <t>ADQUISICIÓN DE REPUESTOS PARA RECUPERACIÓN DE MMPP DEL REMOLCADOR ILINIZA</t>
  </si>
  <si>
    <t>SIE-DIGMAT-002-2021</t>
  </si>
  <si>
    <t>ADQUISICION DE RACORES PARA BOTELLAS DE ALTA PRESION DE LAS UNIDADES SUBMARINAS</t>
  </si>
  <si>
    <t>SIE-DIGMAT-003-2021</t>
  </si>
  <si>
    <t>ADQUISICIÓN DE LUBRICANTES PARA MOTORES FUERA DE BORDA MERCURY</t>
  </si>
  <si>
    <t>VPN-DIGMAT-002-2021</t>
  </si>
  <si>
    <t>SERVICIO DE SOLDADURA DE CASCO RESISTENTE DEL BAE SHYRI</t>
  </si>
  <si>
    <t xml:space="preserve">Objeto de Contratación </t>
  </si>
  <si>
    <t>Subasta Inversa</t>
  </si>
  <si>
    <t>Produccion Nacional</t>
  </si>
  <si>
    <t>RE-DIGMAT-002-2021</t>
  </si>
  <si>
    <t>ADQUISICIÓN DE ACEITE CAT DEO 15W40 Y ACEITE REFRIGERANTE CAT ELC EXTENDED LIFE COOLANT PARA MAQUINARIA CATERPILLAR DE LAS UNIDADES</t>
  </si>
  <si>
    <t>Regimen Especial</t>
  </si>
  <si>
    <t>MCO-DIGMAT-002-2021</t>
  </si>
  <si>
    <t>MANTENIMIENTO SISTEMA DE AGUA POTABLE BASUIL (I ETAPA) Y MANTENIMIENTO SISTEMA DE AGUA POTABLE BASNOR (I ETAPA)</t>
  </si>
  <si>
    <t>$179,733.93</t>
  </si>
  <si>
    <t>VPN-DIGMAT-001-2021</t>
  </si>
  <si>
    <t>SERVICIO DE OVERHAUL DL CONJUNTO DE 02 HELICES NP 782750 14 PARA LA AERONAVE AN 204</t>
  </si>
  <si>
    <t>RE-DIGMAT-001-2021</t>
  </si>
  <si>
    <t>MANTENIMIENTO DE ASCENSORES DIGLOG</t>
  </si>
  <si>
    <t>RE-DIGMAT-003-2021</t>
  </si>
  <si>
    <t>MANTENIMIENTO DE EQUIPOS Y SISTEMAS DE 01 GUARDACOSTAS, 04 CORBETAS, 01 LANCHA, 03 BUQUES AUXILIARES Y 01 FRAGATA DE LA ARMADA DEL ECUADOR</t>
  </si>
  <si>
    <t>CDC-DIGMAT-001-2021</t>
  </si>
  <si>
    <t>ESTUDIOS Y DISEÑOS PARA TALUD DE STELLA MARIS</t>
  </si>
  <si>
    <t>COTS-DIGMAT-001-2021</t>
  </si>
  <si>
    <t>MANTENIMIENTO DE SISTEMAS MECÁNICOS, ELÉCTRICOS Y AUXILIARES DEL BAE HUALCOPO QUE CUMPLIRÁ OPERACIONES DE SEGURIDAD HIDROCARBURÍFERA FASE I, INCLUYE REPUESTOS.</t>
  </si>
  <si>
    <t>Desierto</t>
  </si>
  <si>
    <t>Finalizada</t>
  </si>
  <si>
    <t>CLC-DIGMAT-001-2021</t>
  </si>
  <si>
    <t>CONSULTORIA PARA EL CUMPLIMIENTO DEL PLAN DE MONITOREO Y SEGUIMIENTO DEL ESTUDIO DE IMPACTO AMBIENTAL DEL PROYECTO DE CONSTRUCCION, OPERACION, MANTENIMIENTO, CIERRE Y ABANDONO DEL DRAGADO DEL ESTERO CARACOL DE LA BASE NAVAL SUR</t>
  </si>
  <si>
    <t>MCO-DIGMAT-003-2021</t>
  </si>
  <si>
    <t>MANTENIMIENTO ESTABILIZACION DE TALUD PUNTA MANDINGA ANS BASALI</t>
  </si>
  <si>
    <t>$89,285.71</t>
  </si>
  <si>
    <t>CERTIFICADOS PAC</t>
  </si>
  <si>
    <t>ELABORACION PLIEGOS</t>
  </si>
  <si>
    <t>PUBLICADOS</t>
  </si>
  <si>
    <t>SIE</t>
  </si>
  <si>
    <t>MCO</t>
  </si>
  <si>
    <t>COT</t>
  </si>
  <si>
    <t>RE</t>
  </si>
  <si>
    <t>IC</t>
  </si>
  <si>
    <t>CATE</t>
  </si>
  <si>
    <t>IMP</t>
  </si>
  <si>
    <t>CONS</t>
  </si>
  <si>
    <t>CANTIDAD</t>
  </si>
  <si>
    <t>MONTO</t>
  </si>
  <si>
    <t xml:space="preserve">PROCESOS INGRESADO 16-ABR-2021 </t>
  </si>
  <si>
    <t>ELABORACION DE PLIEGOS</t>
  </si>
  <si>
    <t>COTS-DIGMAT-002-2021</t>
  </si>
  <si>
    <t>MANTENIMIENTO DE LAS ESTACIONES GUARDACOSTAS MOVILES LAGO SAN PABLO Y LAGO YAGUARCOCHA</t>
  </si>
  <si>
    <t>$71,370.70</t>
  </si>
  <si>
    <t>RE-DIGMAT-004-2021</t>
  </si>
  <si>
    <t>MANTENIMIENTO DE LOS SISTEMAS MECÁNICOS Y ELÉCTRICOS DEL BUQUE ESCUELA GUAYAS PARA CRUCERO INTERNACIONAL</t>
  </si>
  <si>
    <t>MCO-DIGMAT-005-2021</t>
  </si>
  <si>
    <t>MANTENIMIENTO DE PONTONES MUELLES 4 DE BASUIL Y MUELLE DE COGUAR</t>
  </si>
  <si>
    <t>SIE-DIGMAT-007-2021</t>
  </si>
  <si>
    <t>MANTENIMIENTO DE EQUIPOS DE MEDICION DE TALLERES</t>
  </si>
  <si>
    <t>SIE-DIGMAT-008-2021</t>
  </si>
  <si>
    <t>MANTENIMIENTO DE LAS BALSAS SALVAVIDAS DE LAS UNIDADES DE CODESC</t>
  </si>
  <si>
    <t>SIE-DIGMAT-004-2021</t>
  </si>
  <si>
    <t>MANTENIMIENTO DE 02 BALSAS SALVAVIDAS DEL B.A.E. SHYRI</t>
  </si>
  <si>
    <t>SIE-DIGMAT-006-2021</t>
  </si>
  <si>
    <t>ADQUISICIÓN DE REPUESTOS PARA EL MANTENIMIENTO DE 02 MOTORES FUERA DE BORDA DEL BIMLOR</t>
  </si>
  <si>
    <t>COTS-DIGMAT-003-2021</t>
  </si>
  <si>
    <t>CONTRATACIÓN DEL SERVICIO DE TRANSPORTE INTERNACIONAL DE CARGA Y SERVICIOS CONEXOS FASE 1</t>
  </si>
  <si>
    <t>Borrador</t>
  </si>
  <si>
    <t>$250,000.00</t>
  </si>
  <si>
    <t>MCO-DIGMAT-001-2021</t>
  </si>
  <si>
    <t>MANTENIMIENTO ESTABILIZACIÓN DE TALUD EN ÁREA OPERATIVA DE CODESC I ETAPA</t>
  </si>
  <si>
    <t>MCO-DIGMAT-004-2021</t>
  </si>
  <si>
    <t>MANTENIMIENTO DE DOS BOTADEROS DE BASURA EN BASUIL</t>
  </si>
  <si>
    <t>RE-DIGMAT-005-2021</t>
  </si>
  <si>
    <t>ADQUISICIÓN DE LUBRICANTES PARA EL MANTENIMIENTO DE TURBINAS, SISTEMAS DE TRANSMISIÒN Y SISTEMAS DE REFRIGERACIÓN DE LAS FRAGATAS MISILERAS</t>
  </si>
  <si>
    <t>$38,900.00</t>
  </si>
  <si>
    <t>C0TS-DIGMAT-003-2021</t>
  </si>
  <si>
    <t>CONTRATACION DEL SERVICIO DE TRANSPORTE INTERNACIONAL DE CARGA Y SERVICIOS CONEXOS FASE 1</t>
  </si>
  <si>
    <t>SIE-DIGMAT-005-2021</t>
  </si>
  <si>
    <t>SOPORTE Y MANTENIMIENTO PREVENTIVO PARA EL CENTRO DE DATOS DE GUAYAQUIL.</t>
  </si>
  <si>
    <t>SIE-DIGMAT-009-2021</t>
  </si>
  <si>
    <t>SERVICIO DE TRANSPORTE INSTITUCIONAL PARA EL PERSONAL MILITAR Y CIVIL DE LA BASE NAVAL DE GUAYAQUIL</t>
  </si>
  <si>
    <t>Adjudicado - registro de contratos</t>
  </si>
  <si>
    <t>ASTINAVE EP</t>
  </si>
  <si>
    <t>VPN-DIGMAT-004-2021</t>
  </si>
  <si>
    <t>SERVICIO DE ENTRENAMIENTO RECURRENTE DE PROCEDIMIENTOS DE EMERGENCIA EN AERONAVE CASA CN 235-100 Y CN-235-300</t>
  </si>
  <si>
    <t>COTS-DIGMAT-004-2021</t>
  </si>
  <si>
    <t>SERVICIO DE TRANSPORTE DE COMBUSTIBLE EN AUTOTANQUES, DESDE TERMINALES Y DEPOSITOS DE EP PETROECUADOR HACIA TANQUES DE ALMACENAMIENTO DE COMBUSTIBLE, GASOLINERAS Y DEPOSITOS DE LOS REPARTOS Y UNIDADES NAVALES DE LA ARMADA DEL ECUADOR A NIVEL NACIONAL</t>
  </si>
  <si>
    <t>$104,981.00</t>
  </si>
  <si>
    <t>SIE-DIGMAT-012-2021</t>
  </si>
  <si>
    <t>ADQUISICIÓN DE REPUESTOS PARA PLANTAS DE AIRE ACONDICIONADO Y PLANTAS FRIGORÍFICAS DE LANCHAS GUARDACOSTAS LG PINTA Y LG FERNANDINA QUE REALIZAN OPERACIONES DE SEGURIDAD HIDROCARBURÍFERA</t>
  </si>
  <si>
    <t>VPN-DIGMAT-003-2021</t>
  </si>
  <si>
    <t>SERVICIO DE CAPACITACIÓN DE SIMULADOR DE VUELO SUPER KING AIR 350 B-300 PARA TRIPULACIONES AEREAS</t>
  </si>
  <si>
    <t>LCS-DIGMAT-001-2021</t>
  </si>
  <si>
    <t>CONTRATACIÓNDE LA POLIZA DE SEGUROS ANUAL DEL PARQUE AUTOMOTOR DE LA ARMADA DELECUADOR 2021</t>
  </si>
  <si>
    <t>SIE-DIGMAT-011-2021</t>
  </si>
  <si>
    <t>SERVICIO DE MANTENIMIENTO A GRÚA HIDRÁULICA DE BAE LOS RIOS, LG ISLA BALTRA, Y LG ISLA ESPAÑOLA</t>
  </si>
  <si>
    <t>SIE-DIGMAT-014-2021</t>
  </si>
  <si>
    <t>MANTENIMIENTO CORRECTIVO DEL SISTEMA DE CONECTIVIDAD DE DATOS PARA REPARTOS DE BASUIL, TALLERES, DIRTIC Y UNIDADES NAVALES</t>
  </si>
  <si>
    <t>VPN-DIGMAT-005-2021</t>
  </si>
  <si>
    <t>SERVICIO DE ENTRENAMIENTO RECURRENTE EN SIMULADORES DE VUELO EN AERONAVES BELL-430 Y BELL 206 PARA TRIPULACIONES AÉREAS</t>
  </si>
  <si>
    <t>RE-DIGMAT-006-2021</t>
  </si>
  <si>
    <t>?SERVICIO DE TRANSPORTE MARÍTIMO DE COMBUSTIBLE JP1 HACIA LA REGIÓN INSULAR?</t>
  </si>
  <si>
    <t>PE-DIGMAT-001-2021</t>
  </si>
  <si>
    <t>SERVICIO DE TRANSPORTE DE COMBUSTIBLE EN AUTOTANQUES A NIVEL NACIONAL - CONVENIO DE PAGO</t>
  </si>
  <si>
    <t>530410 - 530813</t>
  </si>
  <si>
    <t>Cancelado</t>
  </si>
  <si>
    <t>COTS-DIGMAT-005-2021</t>
  </si>
  <si>
    <t>MANTENIMIENTO DE SISTEMA SANITARIO, FRIGORIFICOS Y COCINA DEL BAE HUALCOPO QUE CUMPLIRA OPERACIONES DE SEGURIDAD Y VIGILANCIA MARITIMA</t>
  </si>
  <si>
    <t>SIE-DIGMAT-013-2021</t>
  </si>
  <si>
    <t>ADQUISICIÓN DE REPUESTOS PARA REPARACIÓN DE LOS SISTEMAS DE NAVEGACIÓN DE LAS UNIDADES QUE CUMPLEN OPERACIONES DE SEGURIDAD HIDROCARBURIFERA</t>
  </si>
  <si>
    <t>SIE-DIGMAT-015-2021</t>
  </si>
  <si>
    <t>ADQUISICIÓN DE SUMINISTROS PARA TALLERES DE MANTENIMIENTO Y REPARACIÓN MECÁNICOS, ELÉCTRICOS, APOYO Y AUXILIARES DE LA MAESTRANZA DE LA DIRECCIÓN DE MANTENIMIENTO Y RECUPERACIÓN DE UNIDADES NAVALES 2021</t>
  </si>
  <si>
    <t>SIE-DIGMAT-017-2021</t>
  </si>
  <si>
    <t>ADQUISICION DE PARTES Y REPUESTOS PARA LOS EQUIPOS DE COMUNICACIONES VHF FM</t>
  </si>
  <si>
    <t>RCOTS-DIGMAT-002-21</t>
  </si>
  <si>
    <t>MANTENIMIENTO DE LAS ESTACIONES GUARDACOSTAS MÓVILES LAGO SAN PABLO Y LAGO YAGUARCOCHA</t>
  </si>
  <si>
    <t>RSIE-DIGMAT-008-2021</t>
  </si>
  <si>
    <t>SIE-DIGMAT-010-2021</t>
  </si>
  <si>
    <t>ADQUISICIÓN DE TEST O DISPOSITIVOS DE DETECCIÓN DE DROGAS COMO PREVENCIÓN EN EL ÁMBITO LABORAL DEL PERSONAL MILITAR</t>
  </si>
  <si>
    <t>SIE-DIGMAT-016-2021</t>
  </si>
  <si>
    <t>SERVICIO DE MANTENIMIENTO Y ACTUALIZACIÓN DEL SISTEMA DEL SIMULADOR DE ENTRENAMIENTO TÁCTICO POSEIDON DE CESCAN</t>
  </si>
  <si>
    <t>SIE-DIGMAT-018-2021</t>
  </si>
  <si>
    <t>ADQUISICIÓN DE REPUESTOS Y ACCESORIOS PARA LOS EQUIPOS DE LA DIRTIC Y REPARTOS USUARIOS 2021</t>
  </si>
  <si>
    <t>SIE-DIGMAT-019-2021</t>
  </si>
  <si>
    <t>REPARACIÓN Y MANTENIMIENTO DE 01 JUNTURA ROTANTE DE LA CORBETA MANABI QUE CUMPLE OPERACIONES DE SEGURIDAD HIDROCARBURÍFERA</t>
  </si>
  <si>
    <t>SIE-DIGMAT-020-2021</t>
  </si>
  <si>
    <t>RENOVACIÓN DE LA LICENCIA ANUAL DE LOS EQUIPOS DE SEGURIDAD PERIMETRAL CISCO FIREPOWER</t>
  </si>
  <si>
    <t>SIE-DIGMAT-021-2021</t>
  </si>
  <si>
    <t>ALQUILER DE LOS EQUIPOS DE AMPLIFICACION PARA CEREMONIAS MILITARES CONMEMORATIVAS 2021</t>
  </si>
  <si>
    <t>SIE-DIGMAT-023-2021</t>
  </si>
  <si>
    <t>ADQUISICION DE 04 INTERCAMBIADORES DE CALOR MARINOS CON TUBERIA Y ESPEJOS DE TITANIO, PARA PLANTAS DE A A DUNHAM BUSH DEL BAE MANABI Y BAE LOJA</t>
  </si>
  <si>
    <t>SIE-DIGMAT-024-2021</t>
  </si>
  <si>
    <t>PLAN DE SERVICIOS SATELITALES (VOZ Y DATOS) PARA LOS REPARTOS Y UNIDADES DE LA ARMADA</t>
  </si>
  <si>
    <t>RRE-DIGMAT-005-2021</t>
  </si>
  <si>
    <t>Ejecucion de Contrato</t>
  </si>
  <si>
    <t>SIE-DIGMAT-022-2021</t>
  </si>
  <si>
    <t>ADQUISICION DE HERRAMIENTAS PARA MAESTRANZA Y TALLERES INTEGRADOS</t>
  </si>
  <si>
    <t>SIE-DIGMAT-025-2021</t>
  </si>
  <si>
    <t>RENOVACIÓN ANUAL DEL SISTEMA ANTIVIRUS DE LA ARMADA DEL ECUADOR</t>
  </si>
  <si>
    <t>RE-DIGMAT-OO8-2012</t>
  </si>
  <si>
    <t>ADQUISICION DE UNIFORMES, PRENDAS Y ACCESORIOS MILITARES PARA PERSONAL EN SERVICIO ACTIVO DE LA ARMADA DEL ECUADOR</t>
  </si>
  <si>
    <t>RE-DIGMAT-007-2021</t>
  </si>
  <si>
    <t>ADQUISICIÓN DE MUNICIÓN MENOR Y MUNICIÓN AC PARA SU EMPLEO EN LA ARMADA DEL ECUADOR</t>
  </si>
  <si>
    <t>530404 - 530704 - 530701</t>
  </si>
  <si>
    <t>MCS-DIGMAT-006-2021</t>
  </si>
  <si>
    <t>MANTENIMIENTO DE LOS SISTEMAS DE LANZAMIENTO ITL DE CORESM, CORMAN, CORIOS Y CORLOJ</t>
  </si>
  <si>
    <t>MCS-DIGMAT-008-2021</t>
  </si>
  <si>
    <t>MANTENIMIENTO DEL CAÑÓN OTOMELARA DE LAS UNIDADES NAVALES CORESM, CORMAN, CORIOS Y CORLOJ</t>
  </si>
  <si>
    <t>RSIE-DIGMAT-004-2021</t>
  </si>
  <si>
    <t>SIE-DIGMAT-026-2021</t>
  </si>
  <si>
    <t>REAPROVISIONAMIENTO DE ACEITE MONOGRADO SAE 40 PARA MANTENIMIENTO DE MAQUINARIA PRINCIPAL Y AUXILIAR DE LAS UNIDADES</t>
  </si>
  <si>
    <t>SIE-DIGMAT-027-2021</t>
  </si>
  <si>
    <t>SERVICIO DE MANTENIMIENTO Y ACTUALIZACION MECANICA DE CINCO MONTAJES PARA AMETRALLADORA BROWNING 0.50 EN TRAHUA, LGCRIS, LGISAB, LGDARW, LGFLOR, E INSTALACION DE DOS MAC EN TRAHUA</t>
  </si>
  <si>
    <t>SIE-DIGMAT-O21-2021</t>
  </si>
  <si>
    <t>CONTRATOS</t>
  </si>
  <si>
    <t>ADJUDICADOS</t>
  </si>
  <si>
    <t>AHORROS</t>
  </si>
  <si>
    <t>CERTIFICACIONES PLURIANUALES</t>
  </si>
  <si>
    <t xml:space="preserve">CUADRO RESUMEN DE PROCESOS </t>
  </si>
  <si>
    <t>INFIMAS CUANTIAS</t>
  </si>
  <si>
    <t>CATALOGO ELECTRONICO</t>
  </si>
  <si>
    <t>PROCESOS SOCE</t>
  </si>
  <si>
    <t>DETALLE</t>
  </si>
  <si>
    <t>No. PROCESOS</t>
  </si>
  <si>
    <t xml:space="preserve">MONTOS </t>
  </si>
  <si>
    <t>IMPORTACIONES</t>
  </si>
  <si>
    <t>MCO-DIGMAT-007-2021</t>
  </si>
  <si>
    <t>MANTENIMIENTO DE COCINA DE LA CÁMARA DE TRIPULANTES DE BIMLOR</t>
  </si>
  <si>
    <t>$10,155.54</t>
  </si>
  <si>
    <t>RMCO-DIGMAT-002-2021</t>
  </si>
  <si>
    <t>RMCO-DIGMAT-003-2021</t>
  </si>
  <si>
    <t>RSIE-DIGMAT-012-2021</t>
  </si>
  <si>
    <t>N0.</t>
  </si>
  <si>
    <t>PARTIDA PRESUPUESTARIA</t>
  </si>
  <si>
    <t>CODIGO PROCESO</t>
  </si>
  <si>
    <t>PRESUPUESTO REFERENCIAL</t>
  </si>
  <si>
    <t>MONTO ADJUDICADO</t>
  </si>
  <si>
    <t>AHORRO</t>
  </si>
  <si>
    <t>MCO-DIGMAT-009-2021</t>
  </si>
  <si>
    <t>MANTENIMIENTO PREVENTIVO DE LA SUBESTACION Y CORRECTIVO DE LA RED ELECTRICA DE BASUIL - ETAPA I</t>
  </si>
  <si>
    <t>RSIE-DIGMAT-023-2021</t>
  </si>
  <si>
    <t>ADQUISICION DE 04 INTERCAMBIADORES DE CALOR MARINOS CON TUBERIA Y ESPEJOS DE TITANIO, PARA PLANTAS DE A/A DUNHAM BUSH DEL BAE MANABI Y BAE LOJA</t>
  </si>
  <si>
    <t>RVPN-DIGMAT-006-2021</t>
  </si>
  <si>
    <t>SIE-DIGMAT-028-2021</t>
  </si>
  <si>
    <t>ADQUISICION DE SUMINISTROS DE FERRETERÍA PARA EL MANTENIMIENTO DE LAS ÁREAS DE RESPONSABILIDAD DE BASUIL Y DIRABA</t>
  </si>
  <si>
    <t>REFERENCIAL 2021-002 (PSE)</t>
  </si>
  <si>
    <t>COTS-DIGMAT-006-2021</t>
  </si>
  <si>
    <t>SERVICIO DE TRANSPORTE DE COMBUSTIBLE EN AUTOTANQUES , DESDE TERMINALES Y DEPOSITOS DE EP PETROECUADOR HACIA TANQUES DE ALMACENAMIENTO DE COM BUSTIBLE, GASOLINERAS Y DEPÓSITOS DE LOS REPARTOS Y UNIDADES NAVALES DE LA ARMADA DEL ECUADOR A NIVEL NACIONAL</t>
  </si>
  <si>
    <t>$86,244.00</t>
  </si>
  <si>
    <t>LCS-DIGMAT-002-2021</t>
  </si>
  <si>
    <t>PROVISIÓN DEL SEGURO DE TRANSPORTE INTERNACIONAL DE CARGA PARA IMPORTACIÓN Y EXPORTACIÓN DE BIENES</t>
  </si>
  <si>
    <t>$23,713.02</t>
  </si>
  <si>
    <t>RCOTS-DIGMAT-05-2021</t>
  </si>
  <si>
    <t>RSIE-DIGMAT-011-2021</t>
  </si>
  <si>
    <t>SIE-DIGMAT-029-2021</t>
  </si>
  <si>
    <t>ADQUISICIÓN DE MATERIALES Y SUMINISTROS PARA EL MANTENIMIENTO DE LAS INSTALACIONES DEL COMANDO DE SUBMARINOS Y TRABAJOS ESPECIALIZADOS PARA LOS NIVELES I Y II DE LAS UNIDADES SUBMARINAS</t>
  </si>
  <si>
    <t>Cotizacion</t>
  </si>
  <si>
    <t>MASTERSOFT S.A.</t>
  </si>
  <si>
    <t>COTS-DIGMAT-O06-2021</t>
  </si>
  <si>
    <t>SERVICIO DE TRANSPORTE DE COMBUSTIBLE EN AUTOTANQUES, DESDE TERMINALES Y DEPOSITOS DE EP PETROECUADOR HACIA TANQUES DE ALMACENAMIENTO DE COMBUSTIBLE, GASOLINERAS Y DEPÓSITOS DE LOS REPARTOS Y UNIDADES NAVALES DE LA ARMADA DEL ECUADOR A NIVEL NACIONAL</t>
  </si>
  <si>
    <t>RSIE-DIGMAT-024-2021</t>
  </si>
  <si>
    <t>PLAN DE SERVICIOS SATELITALES VOZ Y DATOS PARA LOS REPARTOS Y UNIDADES DE LA ARMADA</t>
  </si>
  <si>
    <t>RSIE-DIGMAT-O20-2021</t>
  </si>
  <si>
    <t>RSIE-DIGMAT-O24-2021</t>
  </si>
  <si>
    <t>SIE-DIGMAT-032-2021</t>
  </si>
  <si>
    <t>MANTENIMIENTO PREVENTIVO DE TORRES DE COMUNICACIÓN DE LA ARMADA 2021</t>
  </si>
  <si>
    <t>VPN-DIGMAT-007-2021</t>
  </si>
  <si>
    <t>SERVICIO DE OVERHAUL DE MOTOR 250-C40B CAE-844100 Y OVERHAUL/EXCHANGE DE BLEED VALVE PARA HELICOPTERO BELL 430</t>
  </si>
  <si>
    <t>VPN-DIGMAT-008-2021</t>
  </si>
  <si>
    <t>ADQUISICION DE RACIONES DE CAMPAÑA MILITARES PARA 12 HORAS</t>
  </si>
  <si>
    <t>VPN-DIGMAT-009-2021</t>
  </si>
  <si>
    <t>ADQUISICIÓN DE PARTES Y PIEZAS DE TRANSRECEPTORES HF ROHDE &amp; SCHWARZ</t>
  </si>
  <si>
    <t>RE-DIGMAT-011-2021</t>
  </si>
  <si>
    <t>ADQUISICIÓN DE PINTURAS MARINAS PARA LAS UNIDADES SUBORDINADAS AL COMANDO DE SUBMARINOS</t>
  </si>
  <si>
    <t>$21,681.15</t>
  </si>
  <si>
    <t>RE-DIGMAT-O09-2021</t>
  </si>
  <si>
    <t>PROVISIÓN DEL SERVICIO DE CARENAMIENTO DE LOS BUQUES DE LA ARMADA DEL ECUADOR AÑO 2021 FASE I</t>
  </si>
  <si>
    <t>$872,779.86</t>
  </si>
  <si>
    <t>RE-DIGMAT-010-2021</t>
  </si>
  <si>
    <t>MANTENIMIENTO Y REPARACIÓN DE SISTEMAS MECÁNICOS, ELÉCTRICOS, ELECTRÓNICOS Y AUXILIARES DE LAS UNIDADES DE SUPERFICIE, SUBMARINAS Y GUARDACOSTAS FASE-II-2021</t>
  </si>
  <si>
    <t>RE-DIGMAT-009-2021</t>
  </si>
  <si>
    <t>COTS-DIGMAT-007-2021</t>
  </si>
  <si>
    <t>MANTENIMIENTO PREVENTIVOS Y CORRECTIVOS DE LOS VEHÍCULOS MULTIMARCA DEL PARQUE AUTOMOTOR DE LA AMADA DEL ECUADOR PLAZA DE GUAYAQUIL AÑO 2021</t>
  </si>
  <si>
    <t>RSIE-DIGMAT-025-2021</t>
  </si>
  <si>
    <t>RSIE-DIGMAT-027-2021</t>
  </si>
  <si>
    <t>MCO-DIGMAT-010-2021</t>
  </si>
  <si>
    <t>MANTENIMIENTO DE INFRAESTRUCTURA Y OFICINAS DE LOS TALLERES INTEGRADOS - DIRTIC</t>
  </si>
  <si>
    <t>MCO-DIGMAT-012-2021</t>
  </si>
  <si>
    <t>MANTENIMIENTO DEL MUELLE, ESCALAS Y PONTONES DE COGUAR</t>
  </si>
  <si>
    <t>RSIE-DIGMAT-003-2021</t>
  </si>
  <si>
    <t>SIE-DIGMAT-031-2021</t>
  </si>
  <si>
    <t>MANTENIMIENTO, CALIBRACIÓN Y REPARACIÓN DE LA ESTACIÓN DE DIAGNÓSTICO FLYING PROBE 4040</t>
  </si>
  <si>
    <t>SIE-DIGMAT-035-2021</t>
  </si>
  <si>
    <t>SERVICIO DE MANTENIMIENTO MECÁNICO, ELÉCTRICO Y ACTUALIZACIÓN DE LOS COMPONENTES QUE INTERVIENEN EN EL MOVIMIENTO DE RONZA Y ELEVACIÓN DE LA AMETRALLADORA OERLIKON INSTALADA EN DINDES</t>
  </si>
  <si>
    <t>RRE-DIGMAT-011-2021</t>
  </si>
  <si>
    <t>ASIGNADO    CEDULA SIGEIN</t>
  </si>
  <si>
    <t>POR ADJUDICAR</t>
  </si>
  <si>
    <t>EN EJECUCION</t>
  </si>
  <si>
    <t>PLIEGOS</t>
  </si>
  <si>
    <t>EN PROCESO</t>
  </si>
  <si>
    <t>SIE-DIGMAT-033-2021</t>
  </si>
  <si>
    <t>ADQUISICIÓN DE REPUESTOS PARA MANTENIMIENTO DE MOTOR DE COMBUSTIÓN INTERNA DE GENERADOR DETROIT DIESEL DEL B.A.E. “CALICUCHIMA”</t>
  </si>
  <si>
    <t>SIE-DIGMAT-034-2021</t>
  </si>
  <si>
    <t>ADQUISICIÓN DE REPUESTOS PARA EL GENERADOR MTU S60 DEL B.A.E “CHIMBORAZO”</t>
  </si>
  <si>
    <t>SIE-DIGMAT-037-2021</t>
  </si>
  <si>
    <t>ADQUISICION DE REPUESTOS PARA MANTENIMIENTO DEL SISTEMA DE ALIMENTACION DE LOS EQUIPOS DE NAVEGACION INERCIAL Y SISTEMA DE MANDO Y CONTROL DE LAS UNIDADES QUE CUMPLEN OPERACIONES DE SEGURIDAD HIDROCARBURIFERA</t>
  </si>
  <si>
    <t>VPN-DIGMAT-010-2021</t>
  </si>
  <si>
    <t>APROVISIONAMIENTO DE LUBRICANTES Y GRASAS PARA LAS UNIDADES AERONAVALES Y SUBMARINAS DE LA ARMADA DEL ECUADOR</t>
  </si>
  <si>
    <t>RE-DIGMAT-012-2021</t>
  </si>
  <si>
    <t>APROVISIONAMIENTO DE LUBRICANTES PARA UNIDADES GUARDACOSTAS Y PARQUE AUTOMOTOR DE LOS REPARTOS DE LA ARMADA DEL ECUADOR</t>
  </si>
  <si>
    <t>INCIDENCIA PAC VS PRESUPUESTO</t>
  </si>
  <si>
    <t>INCIDENCIA EJECUCION VS PRESUPUESTO</t>
  </si>
  <si>
    <t>530417 - 530404</t>
  </si>
  <si>
    <t>AHORROS DE LOS PROCESOS DE CONTRATACION 2021 CON CORTE 07-JUL-2021</t>
  </si>
  <si>
    <t>SIE-DIGMAT-038-2021</t>
  </si>
  <si>
    <t>ADQUISICION DE REPUESTOS Y ACCESORIOS PARA EL SISTEMA DE LANZAMIENTO ITL DE CORESM, CORMAN, CORIOS Y CORLOJ</t>
  </si>
  <si>
    <t>SIE-DIGMAT-039-2021</t>
  </si>
  <si>
    <t>MANTENIMIENTO DEL SISTEMA DE CLIMATIZACION DEL EDIFICIO DIGLOG</t>
  </si>
  <si>
    <t>VPN-DIGMAT-011-2021</t>
  </si>
  <si>
    <t>SERVICIO DE EVALUACIÓN DE FALLAS DEL RX/TX E INDICADOR DEL RADAR RDR 1700A DEL HN-407</t>
  </si>
  <si>
    <t>VPN-DIGMAT-O11-2021</t>
  </si>
  <si>
    <t>SERVICIO DE EVALUACION DE FALLAS DEL RX/TX E INDICADOR DEL RADAR RDR 1700A DEL HN-407</t>
  </si>
  <si>
    <t>RE-DIGMAT-013-2021</t>
  </si>
  <si>
    <t>ADQUISICIÓN DE MATERIAL DE CAMPAÑA PARA EL PERSONAL DE LA ARMADA DEL ECUADOR</t>
  </si>
  <si>
    <t>RSIE-DIGMAT-031-2021</t>
  </si>
  <si>
    <t>RSIE-DIGMAT-037-2021</t>
  </si>
  <si>
    <t>SIE-DIGMAT-040-2021</t>
  </si>
  <si>
    <t>MANTENIMIENTO DE BALSAS SALVAVIDAS DEL B.A.E. SHYRI.</t>
  </si>
  <si>
    <t>SIE-DIGMAT-041-2021</t>
  </si>
  <si>
    <t>ADQUISICIÓN DE REPUESTOS PARA EL PARQUE AUTOMOTOR DE LA PLAZA DE GUAYAQUIL AÑO 2021</t>
  </si>
  <si>
    <t>RRE-DIGMAT-012-2021</t>
  </si>
  <si>
    <t>SIE-DIGMAT-042-2021</t>
  </si>
  <si>
    <t>ADQUISICIÓN DE REPUESTOS PARA EL SISTEMA DE CONTROL DE TIRO NA 21 DE LA CORBETA ESMERALDAS PARA EL CUMPLIMIENTO DE PATRULLAJES DE SEGURIDAD HIDROCARBURIFERA</t>
  </si>
  <si>
    <t>RVPN-DIGMAT-008-2021</t>
  </si>
  <si>
    <t>ADQUISICIÓN DE RACIONES DE CAMPAÑA MILITARES PARA 12 HORAS.</t>
  </si>
  <si>
    <t>RSIE-DIGMAT-035-2021</t>
  </si>
  <si>
    <t>RSIE-DIGMAT-O35-2O21</t>
  </si>
  <si>
    <t>SIE-DIGMAT-044-2021</t>
  </si>
  <si>
    <t>RE-DIGMAT-014-2021</t>
  </si>
  <si>
    <t>ADQUISICIÓN DE REPUESTOS FURUNO PARA LOS SISTEMAS DE NAVEGACIÓN DE LAS UNIDADES QUE CUMPLEN OPERACIONES DE SEGURIDAD HIDROCARBURIFERA</t>
  </si>
  <si>
    <t>MCO-DIGMAT-013-2021</t>
  </si>
  <si>
    <t>MANTENIMIENTO DEL ENTREPUENTE DE TRIPULANTES DEL EDIFICIO DIGMAT Y EDIFICIO ADMINISTRATIVO COMSUB</t>
  </si>
  <si>
    <t>SIE-DIGMAT-045-2021</t>
  </si>
  <si>
    <t>RENOVACION ANUAL DEL SISTEMA ANTIVIRUS DE LA ARMADA DEL ECUADOR</t>
  </si>
  <si>
    <t>SIE-DIGMAT-046-2021</t>
  </si>
  <si>
    <t>SIE-DIGMAT-030-2021</t>
  </si>
  <si>
    <t>ADQUISICIÓN DE NEUMÁTICOS PARA VEHÍCULOS TÁCTICOS DEL CUINMA</t>
  </si>
  <si>
    <t>SIE-DIGMAT-036-2021</t>
  </si>
  <si>
    <t>ADQUISICIÓN DE PRENDAS Y ACCESORIOS DE PROTECCIÓN PARA EL PERSONAL DE REPARTOS SUBORDINADOS A LA DIRECCIÓN GENERAL DE LOGÍSTICA Y EL COMANDO DE SUBMARINOS</t>
  </si>
  <si>
    <t>SIE-DIGMAT-47-2021</t>
  </si>
  <si>
    <t>ADQUISICIÓN DE REPUESTOS Y ACCESORIOS PARA EL COMANDO DE SUBMARINOS Y UNIDADES SUBMARINAS</t>
  </si>
  <si>
    <t>VPN-DIGMAT-012-2021</t>
  </si>
  <si>
    <t>SERVICIO DE CAPACITACIÓN RECURRENTE EN SIMULADOR SUPER KING-AIR B-300 350 PARA DOTACIONES DE VUELO VIP</t>
  </si>
  <si>
    <t>SIE-DIGMAT-043-2021</t>
  </si>
  <si>
    <t>MANTENIMIENTO CORRECTIVO DE LA TRIBUNA DESMONTABLE DE BASUIL</t>
  </si>
  <si>
    <t>SIE-DIGMAT-048-2021</t>
  </si>
  <si>
    <t>LIMPIEZA DE 07 TANQUES DE COMBUSTIBLE (BUNKER) DEL BAE HUALCOPO</t>
  </si>
  <si>
    <t>VPN-DIGMAT-013-2021</t>
  </si>
  <si>
    <t>REPARACIÓN DEL CASCO RESISTENTE DEL B.A.E. SHYRI.</t>
  </si>
  <si>
    <t>SIE-DIGMAT-049-2021</t>
  </si>
  <si>
    <t>MANTENIMIENTO DE LAS BALSAS SALVAVIDAS DE LAS UNIDADES DEL COMANDO DE GUARDACOSTAS Y DE LA COMANDANCIA DE ESCUADRA</t>
  </si>
  <si>
    <t>MCS-DIGMAT-014-2021</t>
  </si>
  <si>
    <t>MANTENIMIENTO Y REPARACION DE MOBILIARIO DE OFICINA DE LA DIGLOG Y REPARTOS SUBORDINADOS</t>
  </si>
  <si>
    <t>SIE-DIGMAT-050-2021</t>
  </si>
  <si>
    <t>REPARACIÓN Y MANTENIMIENTO DE LOS MOTORES DE LOS SISTEMAS DE ARMAS DE CORBETAS MISILERAS</t>
  </si>
  <si>
    <t>LCS-DIGMAT-002-2O21</t>
  </si>
  <si>
    <t>RE-DIGMAT-015-2O21</t>
  </si>
  <si>
    <t>MANTENIMIENTO DE CAÑERÍA DE REFRIGERANTE Y ENFRIAMIENTO DE PLANTAS DE A/A DUNHAM BUSH DE CORMAN Y CORLOJ</t>
  </si>
  <si>
    <t>RE-DIGMAT-016-2021</t>
  </si>
  <si>
    <t>MANTENIMIENTO Y REPARACIÓN DE EQUIPOS Y SISTEMAS DE LANCHAS GUARDACOSTAS LG PINTA Y LG BALTRA</t>
  </si>
  <si>
    <t>$73,705.94</t>
  </si>
  <si>
    <t>Finalizado por mutuo acuerdo</t>
  </si>
  <si>
    <t>RSIE-DIGMAT-049-2021</t>
  </si>
  <si>
    <t>SIE-DIGMAT-051-2021</t>
  </si>
  <si>
    <t>SERVICIO DE IMPRENTA Y REPRODUCCIÓN DE FORMATOS VARIOS Y EMPASTADOS DE ESTADOS FINANCIEROS, IMPRESIÓN DE AFICHES FOLLETOS SEÑALÉTICAS PARA DIGMAT- REPARTO SUBORDINADOS Y DIRSEG</t>
  </si>
  <si>
    <t>SIE-DIGMAT-052-2021</t>
  </si>
  <si>
    <t>SERVICIO DE MANTENIMIENTO PREVENTIVO CORRECTIVO DE TANQUE TIPO REMOLQUE DE COMBUSTIBLE JET A1 DE LA DIRECCION DE ABASTECIMIENTOS</t>
  </si>
  <si>
    <t>VPN-DIGMAT-014-2021</t>
  </si>
  <si>
    <t>ADQUISICIÓN DE TANQUEROS Y CAMIONES PARA LA DIRECCIÓN DE ABASTECIMIENTOS</t>
  </si>
  <si>
    <t>Calificacion de ofertas</t>
  </si>
  <si>
    <t>SIE-DIGMAT-053-2021</t>
  </si>
  <si>
    <t>MANTENIMIENTO, CALIBRACION Y REPARACION DE LA ESTACION DE DIAGNOSTICO FLYING PROBE 4040</t>
  </si>
  <si>
    <t>RRE-DIGMAT-016-2021</t>
  </si>
  <si>
    <t>RE-DIGMAT-017-2021</t>
  </si>
  <si>
    <t>ADQUISICIÓN DE ACEITE CAT DEO 15W40 PARA MAQUINARIA CATERPILLAR DE LAS UNIDADES DE SUPERFICIE</t>
  </si>
  <si>
    <t>RE-DIGMAT-018-2021</t>
  </si>
  <si>
    <t>SIE-DIGMAT-054-2021</t>
  </si>
  <si>
    <t>ADQUISICION DE RADAR DE NAVEGACIÓN BANDA X PARA EL BUQUE ESCUELA GUAYAS</t>
  </si>
  <si>
    <t>SIE-DIGMAT-055-2021</t>
  </si>
  <si>
    <t>ADQUISICIÓN DE LUBRICANTES SAE 40 Y 15 W40 PARA MANTENIMIENTO DE MAQUINARIA PRINCIPAL Y AUXILIAR DE LAS UNIDADES</t>
  </si>
  <si>
    <t>SIE-DIGMAT-056-2021</t>
  </si>
  <si>
    <t>ADQUISICION DE MAQUINARIAS Y EQUIPOS PARA EL MANTENIMIENTO DE UNIDADES NAVALES POR LA MAESTRANZA DE MOTORES MTU</t>
  </si>
  <si>
    <t>SIE-DIGMAT-057-2021</t>
  </si>
  <si>
    <t>RECARGA DE EXTINTORES Y BANCOS FIJOS DE CO2, EXTINTORES DE POLVO QUÍMICO Y BIDONES DE FOAM AFFF DE LAS UNIDADES OPERATIVAS DE LA ESCUADRA, GUARDACOSTAS, ESCUADRÓN DE SUBMARINOS Y REPARTOS ADMINISTRATIVOS DE LA BASE NAVAL SUR</t>
  </si>
  <si>
    <t>SIE-DIGMAT-059-2021</t>
  </si>
  <si>
    <t>ADQUISICION DE 04 AIRES ACONDICIONADOS DE 60.000 BTU PARA ENTREPUENTES DE TRIPULANTES Y CONSCRIPTOS NAVALES DE BASUIL</t>
  </si>
  <si>
    <t>Entrega de propuesta</t>
  </si>
  <si>
    <t>En recepcion</t>
  </si>
  <si>
    <t>Programa</t>
  </si>
  <si>
    <t>Actividad</t>
  </si>
  <si>
    <t>Fuente</t>
  </si>
  <si>
    <t>002</t>
  </si>
  <si>
    <t>001</t>
  </si>
  <si>
    <t>55</t>
  </si>
  <si>
    <t>003</t>
  </si>
  <si>
    <t>701</t>
  </si>
  <si>
    <t>57</t>
  </si>
  <si>
    <t>01</t>
  </si>
  <si>
    <t>86</t>
  </si>
  <si>
    <t>001 - 002</t>
  </si>
  <si>
    <t>91</t>
  </si>
  <si>
    <t>001 -  002</t>
  </si>
  <si>
    <t>VPN-DIGMAT-015-2021</t>
  </si>
  <si>
    <t>VPN-DIGMAT-016-2021</t>
  </si>
  <si>
    <t>REPARACIÓN Y MANTENIMIENTO DE LA MALETA DE PRUEBA DEL SISTEMA DE LANZAMIENTO ITL</t>
  </si>
  <si>
    <t xml:space="preserve">INCIDENCIA PAC </t>
  </si>
  <si>
    <t>PROCESOS DE CONTRATACION  2021</t>
  </si>
  <si>
    <t>pac</t>
  </si>
  <si>
    <t>PAC</t>
  </si>
  <si>
    <t>TOTAL PROCESOS</t>
  </si>
  <si>
    <t>CATALAGO ELECTRONICO</t>
  </si>
  <si>
    <t>SUBASTA INVERSA ELECTRONICA</t>
  </si>
  <si>
    <t>MENOR CUANTIA B&amp;S</t>
  </si>
  <si>
    <t>INFIMA CUANTIAS</t>
  </si>
  <si>
    <t>COTIZACION</t>
  </si>
  <si>
    <t>REGIMEN ESPECIAL</t>
  </si>
  <si>
    <t>PRODUCCION NACIONAL / IMPORTACIONES</t>
  </si>
  <si>
    <t>MENOR CUANTIA OBRAS</t>
  </si>
  <si>
    <t>CONTRATACION DIRECTA CONSULTORIA</t>
  </si>
  <si>
    <t>LICITACION DE SEGUROS</t>
  </si>
  <si>
    <t>CANTIDAD DE PROCESOS</t>
  </si>
  <si>
    <t xml:space="preserve">TIPOS DE PROCEDIMIENTOS </t>
  </si>
  <si>
    <t>VALOR ADJUDICADO</t>
  </si>
  <si>
    <t>PUBLICACION ESPECIAL</t>
  </si>
  <si>
    <t>LISTA CORTA</t>
  </si>
  <si>
    <t>CERTIFICACION PLURIANUAL 2022</t>
  </si>
  <si>
    <t>GESTION DE COMPRAS</t>
  </si>
  <si>
    <t>SIE-COGUAR-001-2021</t>
  </si>
  <si>
    <t>COMANDO DE GUARDACOSTAS</t>
  </si>
  <si>
    <t>ADQUISICIÓN DE FILTROS DE LAS UNIDADES PERTENECIENTES AL COMANDO GUARDACOSTAS</t>
  </si>
  <si>
    <t>SIE-COGUAR-002-2021</t>
  </si>
  <si>
    <t>ADQUISICIÓN DE MATERIALES DE FERRETERÍA PARA LAS DIFERENTES UNIDADES DEL COMANDO GUARDACOSTAS</t>
  </si>
  <si>
    <t>SIE-COGUAR-003-2021</t>
  </si>
  <si>
    <t>ADQUISICIÓN DE REPUESTOS PARA LAS UNIDADES PERTENECIENTES AL COMANDO GUARDACOSTAS</t>
  </si>
  <si>
    <t>SIE-COGUAR-004-2021</t>
  </si>
  <si>
    <t>ADQUISICIÓN DE REPUESTOS PARA LOS MOTORES FUERA DE BORDA DE LAS UNIDADES PERTENECIENTES AL COMANDO GUARDACOSTAS</t>
  </si>
  <si>
    <t>SIE-COGUAR-005-2021</t>
  </si>
  <si>
    <t>ADQUISICIÓN DE INSUMOS Y MATERIALES PARA LAS UNIDADES GUARDACOSTAS</t>
  </si>
  <si>
    <t>SIE-COGUAR-006-2021</t>
  </si>
  <si>
    <t>ADQ DE FILTROS DE LAS UNIDADES PERTENECIENTES AL COMANDO GUARDACOSTAS</t>
  </si>
  <si>
    <t>SIE-COGUAR-007-2021</t>
  </si>
  <si>
    <t>ADQ DE MATERIALES DE FERRETERIA PARA LAS DIFERENTES UNIDADES DEL COMANDO GUARDACOSTAs</t>
  </si>
  <si>
    <t>SIE-COGUAR-008-2021</t>
  </si>
  <si>
    <t>ADQ DE REPUESTOS PARA LAS UNIDADES PERTENECIENTES AL COMANDO GUARDACOSTAS</t>
  </si>
  <si>
    <t>COTS-COGUAR-001-2021</t>
  </si>
  <si>
    <t>SERVICIO DE MANTENIMIENTO DEL SISTEMA DE FONDEO Y PARTE ESTRUCTURAL DE LAS ESTACIONES GUARDACOSTAS MÓVILES LAGO SAN PABLO Y LAGO YAGUARCOCHA</t>
  </si>
  <si>
    <t>MCS-COGUAR-001-2021</t>
  </si>
  <si>
    <t>MANTENIMIENTO CORRECTIVO PARA LOS VEHICULOS TERRESTRES DEL COMANDO DE GUARDACOSTAS</t>
  </si>
  <si>
    <t>Desierta</t>
  </si>
  <si>
    <t>SIE-COGUAR-009-2021</t>
  </si>
  <si>
    <t>ADQUISICIÓN DE MATERIAL OPERATIVO Y DE SEGURIDAD PARA LAS UNIDADES Y SUBCOMANDOS PERTENECIENTES AL COMANDO DE GUARDACOSTAS</t>
  </si>
  <si>
    <t>SIE-COGUAR-010-2021</t>
  </si>
  <si>
    <t>ADQUISICIÓN DE EQUIPOS PARA LAS UNIDADES PERTENECIENTES AL COMANDO GUARDACOSTAS</t>
  </si>
  <si>
    <t>SIE-COGUAR-011-2021</t>
  </si>
  <si>
    <t>ADQUISICIÓN DE CHALECOS ANTIBALAS III-A (TRIPLE AAA) PARA EL COMANDO DE GUARDACOSTAS</t>
  </si>
  <si>
    <t>SIE-COGUAR-012-2021</t>
  </si>
  <si>
    <t>ADQUISICIÓN DEL SISTEMA DE INFORMACIÓN Y VISUALIZACIÓN DE CARTAS ELECTRÓNICAS (ECDIS) PARA LAS UNIDADES PERTENECIENTES AL COMANDO DE GUARDACOSTAS</t>
  </si>
  <si>
    <t>SIE-COGUAR-013-2021</t>
  </si>
  <si>
    <t>ADQUISICIÓN DE COMPUTADORES, LAPTOPS, PROYECTOR E IMPRESORAS PARA LAS OFICINAS DEL COMANDO GUARDACOSTAS Y UNIDADES</t>
  </si>
  <si>
    <t>SIE-COGUAR-014-2021</t>
  </si>
  <si>
    <t>MANTENIMIENTO CORRECTIVO DE LOS VEHICULOS TERRESTRES DEL COMANDO DE GUARDACOSTAS</t>
  </si>
  <si>
    <t>SIE-COGUAR-015-2021</t>
  </si>
  <si>
    <t>ADQUISICIÓN DEL SISTEMA DE INFORMACIÓN Y VISUALIZACIÓN DE CARTAS ELECTRÓNICAS (ECDIS) PARA LAS UNIDADES PERTENECIENTES AL COMANDO GUARDACOSTAS.</t>
  </si>
  <si>
    <t>SIE-COGUAR-016-2021</t>
  </si>
  <si>
    <t>ADQUISICIÓN DE REPUESTOS PARA MOTORES FUERA DE BORDA DE 200 HP AET Y F200FET-X</t>
  </si>
  <si>
    <t>SIE-COGUAR-017-2021</t>
  </si>
  <si>
    <t>MANTENIMIENTO DE CASCO (OBRA VIVA, OBRA MUERTA), SUPERESTRUCTURA E INSTALACIÓN DE EQUIPOS EN LAS UNIDADES MENORES DEL COMANDO DE GUARDACOSTAS: LG RIO ZARUMILLA – LG RIO MUISNE – LG RIO JUJAN</t>
  </si>
  <si>
    <t>RE-COGUAR-001-2021</t>
  </si>
  <si>
    <t>MANTENIMIENTO Y REPARACIÓN DE MAQUINARIA PRINCIPAL Y AUXILIAR DE UNIDADES GUARDACOSTAS LGISAB, LGCRIS, LGBALT, LGPINT, LGSALV, LGFERN, LGPLAT, LGMARC, LGCRUZ Y LGPORT</t>
  </si>
  <si>
    <t>Adjudicado - Registro de Contratos</t>
  </si>
  <si>
    <t>Menor Cuantias</t>
  </si>
  <si>
    <t>PARRA CANARTE WILMER</t>
  </si>
  <si>
    <t>ANDREDE CRISTHIAN</t>
  </si>
  <si>
    <t>PAZMINO JOSE</t>
  </si>
  <si>
    <t>OLIMPYCTEL S.A.</t>
  </si>
  <si>
    <t>FABRICIO RIOS</t>
  </si>
  <si>
    <t>TOMALA CANARTE JORGE</t>
  </si>
  <si>
    <t>JONATHAN MESTANZA</t>
  </si>
  <si>
    <t>FERRETEROS INDUSTRIALES FETEINSA C.A.</t>
  </si>
  <si>
    <t>Incidencia de Ahorro</t>
  </si>
  <si>
    <t>LUIS SANUNGA</t>
  </si>
  <si>
    <t>MAUGTE S.A.</t>
  </si>
  <si>
    <t>PATRICIO AYALA</t>
  </si>
  <si>
    <t>ALEX PENAFIEL</t>
  </si>
  <si>
    <t>RONNY MARTINEZ</t>
  </si>
  <si>
    <t>DEMACO, DISTRIBUIDORA DE EQUIPOS Y MATERIALES DE CONSTRUCCION GOMEZ C LTDA.</t>
  </si>
  <si>
    <t>BLINDEX EXTREM CIA. LTDA.</t>
  </si>
  <si>
    <t>JULIO AREVALO</t>
  </si>
  <si>
    <t>VIEJO FAJARDO KATHERINE ANDREA</t>
  </si>
  <si>
    <t>ANDREA GUILLEN</t>
  </si>
  <si>
    <t>VILLAFUERTE DE LA TORRE MARLON ROLANDO</t>
  </si>
  <si>
    <t>NAVAL RADIO ECUADOR S.A. N.R.E</t>
  </si>
  <si>
    <t>STEEVEN CAICEDO</t>
  </si>
  <si>
    <t>DIAZ MUÑOZ MARIA DE LOS ANGELES</t>
  </si>
  <si>
    <t>JOSE COELLO</t>
  </si>
  <si>
    <t>FERNANDO CHAVEZ</t>
  </si>
  <si>
    <t>Ínfima Cuantía</t>
  </si>
  <si>
    <t>IC-COGUAR-001-2021</t>
  </si>
  <si>
    <t>IC-COGUAR-002-2021</t>
  </si>
  <si>
    <t>IC-COGUAR-003-2021</t>
  </si>
  <si>
    <t>IC-COGUAR-004-2021</t>
  </si>
  <si>
    <t>IC-COGUAR-005-2021</t>
  </si>
  <si>
    <t>IC-COGUAR-006-2021</t>
  </si>
  <si>
    <t>IC-COGUAR-007-2021</t>
  </si>
  <si>
    <t>IC-COGUAR-008-2021</t>
  </si>
  <si>
    <t>IC-COGUAR-009-2021</t>
  </si>
  <si>
    <t>TRABAJOS DE EXTRACCIÓN, INCADA, PARADA, APLOMADA Y COLOCACIÓN DE TENSORES DE LOS POSTES DE HORMIGÓN ARMADO DEL SISTEMA DE ILUMINACIÓN DEL COMANDO DE GUARDACOSTAS</t>
  </si>
  <si>
    <t xml:space="preserve">VICTOR TAPIA VILLACIS </t>
  </si>
  <si>
    <t>SUBP MERCHANCANO JAIME</t>
  </si>
  <si>
    <t>ADQUISICIÓN DE VAJILLA Y MENAJE PARA LA COCINA DEL COMANDO DE GUARDACOSTAS</t>
  </si>
  <si>
    <t>RECARGA DE EXTINTORES DE LAS UNIDADES DEL COMANDO DE GUARDACOSTAS</t>
  </si>
  <si>
    <t>BARZOLA LEON JHONNY</t>
  </si>
  <si>
    <t>SGOP MONTERO RODRIGUEZ JORGE</t>
  </si>
  <si>
    <t>SUBS QUIMI VIZUETA MANUEL</t>
  </si>
  <si>
    <t>ELABORACION DE SEÑALETICA PARA LAS DIFERENTES UNIDADES DEL COMANDO DE GUARDACOSTAS</t>
  </si>
  <si>
    <t>ADQUISICION DE PRENDAS DE PROTECCION PARA LAS DIFERENTES UNIDADES DEL COMANDO DE GUARDACOSTAS</t>
  </si>
  <si>
    <t>ADQUISICIÓN DE AIRE ACONDICIONADO PARA OFICINA DEL COMANDO GUARDACOSTAS</t>
  </si>
  <si>
    <t>MANTENIMIENTO  CORRECTIVO  Y  PREVENTIVO  DE  LOS  EQUIPOS  Y  SISTEMAS  DE LAS UNIDADES GUARDACOSTAS LGCRIS, LGFERN, LGROSA, LGPLAT, LGJUJAN</t>
  </si>
  <si>
    <t xml:space="preserve">ORTIZ PARRAGA CHRISTIAN </t>
  </si>
  <si>
    <t>CBOS FIGUEROA PILATAXI EDUARDO</t>
  </si>
  <si>
    <t>CARRIEL PULLA KATHERINE</t>
  </si>
  <si>
    <t>CBOP BAQUE VIVAR JOEL</t>
  </si>
  <si>
    <t>VANEGAS BONILLA MARIO</t>
  </si>
  <si>
    <t>ADQUISICIÓN DE MATERIALES Y SUMINISTROS DE FERRETERÍA PARA EL COMANDO DE GUARDACOSTAS</t>
  </si>
  <si>
    <t>ZAMBRANO CRESPO LAURA</t>
  </si>
  <si>
    <t>MANTENIMIENTO Y REPARACIÓN DEL GENERADOR DE EMERGENCIA MARCA KOHLER PERTENECIENTE AL CENTRO DE OPERACIONES DEL COMANDO DE GUARDACOSTAS</t>
  </si>
  <si>
    <t>ORTEGA VILLEGAS LOURDES</t>
  </si>
  <si>
    <t>ADQUISICIÓN DE REPUESTOS PARA PLANTA FRIGORÍFICA DE LA LG ISLA FERNANDINA</t>
  </si>
  <si>
    <t>IC-COGUAR-010-2021</t>
  </si>
  <si>
    <t>IC-COGUAR-012-2021</t>
  </si>
  <si>
    <t>IC-COGUAR-013-2021</t>
  </si>
  <si>
    <t>CBOS SANTANA  MURILLO JULIO</t>
  </si>
  <si>
    <t>MANTENIMIENTO Y ENCAMISADO DE CILINDRO DE BLOCK DE 08 MOTORES FUERA DE BORDA PERTENECIENTES AL SUBCEN Y SUBSUR</t>
  </si>
  <si>
    <t>SUBS MONTERO RODRIGUEZ JORGE</t>
  </si>
  <si>
    <t>IC-COGUAR-014-2021</t>
  </si>
  <si>
    <t>IC-COGUAR-015-2021</t>
  </si>
  <si>
    <t>IC-COGUAR-016-2021</t>
  </si>
  <si>
    <t>IC-COGUAR-017-2021</t>
  </si>
  <si>
    <t>ADQUISICIÓN DE REPUESTOS PARA LA LG-RÍO MUISNE PERTENECIENTE AL COMANDO DE GUARDACOSTAS</t>
  </si>
  <si>
    <t>OLYMPICTEL S.A.</t>
  </si>
  <si>
    <t>ORTIZ VILLEGAS EFREN</t>
  </si>
  <si>
    <t>ADQUISICIÓN DE REPUESTOS PARA LA LG-RÍO ZARUMILLA PERTENECIENTE AL COMANDO DE GUARDACOSTAS</t>
  </si>
  <si>
    <t>MANTENIMIENTO DEL SISTEMA DE CIRCUITO CERRADO DE CÁMARAS DE VIGILANCIA DE COGUAR, POR SEGURIDAD HIDROCARBURÍFERA</t>
  </si>
  <si>
    <t>SERVICIO DE ENCUADERNACIÓN DE LIBROS DE ARCHIVO PASIVO Y ELABORACIÓN DE BLOCK DE EGRESOS DE LAS DIFERENTES OFICINAS DEL COMANDO GUARDACOSTAS</t>
  </si>
  <si>
    <t>CONDO CORDOVA ANDRES</t>
  </si>
  <si>
    <t>FRANCO AGUAYO BELLA</t>
  </si>
  <si>
    <t>ADQUISICIÓN DE INSUMOS Y MATERIALES ELECTRICOS PARA LAS UNIDADES DEL COMANDO
GUARDACOSTAS, POR SEGURIDAD HIDROCARBURÍFERA</t>
  </si>
  <si>
    <t>BUSTAMANTE FIGUEROA CARLOS</t>
  </si>
  <si>
    <t>IC-COGUAR-020-2021</t>
  </si>
  <si>
    <t>IC-COGUAR-019-2021</t>
  </si>
  <si>
    <t>ADQUISICIÓN DE SUMINISTROS DE OFICINA QUE NO CONSTAN EN CATÁLOGO ELECTRÓNICO PARA LOS DIFERENTES DEPARTAMENTOS DEL COMANDO 
GUARDACOSTAS</t>
  </si>
  <si>
    <t>QUIJIJE CEVALLOS MILTON</t>
  </si>
  <si>
    <t>ADQUISICIÓN DE LUBRICANTES PARA LAS DIFERENTES UNIDADES DEL COMANDO DE
GUARDACOSTAS</t>
  </si>
  <si>
    <t>Catalogo Electrónico</t>
  </si>
  <si>
    <t>CE-20210002026437</t>
  </si>
  <si>
    <t>*ANTISARRO GALON</t>
  </si>
  <si>
    <t>jueves 3 de junio de 2021</t>
  </si>
  <si>
    <t>lunes 7 de junio de 2021</t>
  </si>
  <si>
    <t>RONNY ADRIAN RUIZ ARAUJO</t>
  </si>
  <si>
    <t>HARNISTH PINOS ODGUIL ANTONIO</t>
  </si>
  <si>
    <t>-</t>
  </si>
  <si>
    <t>CE-20210002026438</t>
  </si>
  <si>
    <t>AMBIENTAL VARIAS FRAGANCIAS LIQUIDO GALON</t>
  </si>
  <si>
    <t>SISAILLA CIA.LTDA.</t>
  </si>
  <si>
    <t>CE-20210002026439</t>
  </si>
  <si>
    <t> CEPILLO PARA SANITARIO CON BASE PLASTICA</t>
  </si>
  <si>
    <t xml:space="preserve">COMPAÑIA GENERAL DE COMERCIO COGECOMSA S. A. </t>
  </si>
  <si>
    <t>CE-20210002026440</t>
  </si>
  <si>
    <t>AMBIENTAL VARIAS FRAGANCIAS EN AEROSOL 360 CC</t>
  </si>
  <si>
    <t>CE-20210002026441</t>
  </si>
  <si>
    <t>RECOGEDOR DE BASURA</t>
  </si>
  <si>
    <t>CE-20210002026442</t>
  </si>
  <si>
    <t>DESINFECTANTE AMONIO CUATERNARIO GALON</t>
  </si>
  <si>
    <t>CE-20210002026443</t>
  </si>
  <si>
    <t>LAVA VAJILLA LIQUIDO DE LITRO</t>
  </si>
  <si>
    <t xml:space="preserve">HARNISTH PINOS ODGUIL ANTONIO </t>
  </si>
  <si>
    <t>CE-20210002026444</t>
  </si>
  <si>
    <t>JABON DE TOCADOR LIQUIDO CON VALVULA 500 ML</t>
  </si>
  <si>
    <t>CE-20210002026445</t>
  </si>
  <si>
    <t>TACHO DE BASURA CON TAPA Y PEDAL NEGRO 24 LT</t>
  </si>
  <si>
    <t>PLASTICOS AEMOTORS</t>
  </si>
  <si>
    <t>CE-20210002026446</t>
  </si>
  <si>
    <t>TACHO DE BASURA CON TAPA TIPO VAIVEN NEGRO 50 LT</t>
  </si>
  <si>
    <t>CE-20210002026447</t>
  </si>
  <si>
    <t>ESCOBA DE MADERA FIBRA DE COCO DE 40 CM</t>
  </si>
  <si>
    <t>CE-20210002026448</t>
  </si>
  <si>
    <t>PAPEL HIGIENICO JUMBO DOBLE HOJA BLANCO 250 METROS</t>
  </si>
  <si>
    <t>PAUCAR ALMEIDA MONICA PAULINA</t>
  </si>
  <si>
    <t>CE-20210002026449</t>
  </si>
  <si>
    <t>TRAPEADOR REDONDO DE 24-30 CM</t>
  </si>
  <si>
    <t>CE-20210002026483</t>
  </si>
  <si>
    <t>MARCADOR TIZA LIQUIDA PUNTA GRUESA VARIOS COLORES</t>
  </si>
  <si>
    <t>CE-20210002026484</t>
  </si>
  <si>
    <t>CARTULINA A 4 VARIOS COLORES</t>
  </si>
  <si>
    <t>ECUAEMPAQUES S.A.</t>
  </si>
  <si>
    <t>CE-20210002026485</t>
  </si>
  <si>
    <t>TINTA CORRECTORA TIPO ESFERO</t>
  </si>
  <si>
    <t>CE-20210002026486</t>
  </si>
  <si>
    <t>CLIPS STANDAR 43 MM METALICOS</t>
  </si>
  <si>
    <t>CE-20210002026487</t>
  </si>
  <si>
    <t>REGLA METALICA 30 CM</t>
  </si>
  <si>
    <t>CE-20210002026488</t>
  </si>
  <si>
    <t>MARCADOR PUNTA FINA NEGRO</t>
  </si>
  <si>
    <t>CE-20210002026489</t>
  </si>
  <si>
    <t>RESALTADORES VARIOS COLORES</t>
  </si>
  <si>
    <t>CE-20210002026490</t>
  </si>
  <si>
    <t>GRAPADORA PEQUEÑA METALICA</t>
  </si>
  <si>
    <t>CE-20210002026491</t>
  </si>
  <si>
    <t>GRAPAS 26/6 CAJA DE 5000 U</t>
  </si>
  <si>
    <t>CE-20210002026492</t>
  </si>
  <si>
    <t>SEPARADORES PLASTICOS A4 FUNDA 10 U</t>
  </si>
  <si>
    <t>CE-20210002026493</t>
  </si>
  <si>
    <t>PERFORADORA DE ESCRITORIO MEDIANA</t>
  </si>
  <si>
    <t>DISTRIBUIDORA LA CONDAMINE</t>
  </si>
  <si>
    <t>CE-20210002026494</t>
  </si>
  <si>
    <t>TINTA PARA ALMOHADILLA Y SELLO AZUL / NEGRA / VIOLETA / ROJA</t>
  </si>
  <si>
    <t>CE-20210002026495</t>
  </si>
  <si>
    <t>CINTA DE EMBALAJE TRANSPARENTE 2 PULGADAS X 40 YDAS</t>
  </si>
  <si>
    <t>CE-20210002026496</t>
  </si>
  <si>
    <t>LIBRETA ESPIRAL PEQUEÑA NO 2</t>
  </si>
  <si>
    <t>CE-20210002026497</t>
  </si>
  <si>
    <t>NOTAS ADHESIVAS CUBO DE 5 COLORES 3X3"</t>
  </si>
  <si>
    <t>CE-20210002026498</t>
  </si>
  <si>
    <t>CINTA ADHESIVA TRANSPARENTE 18 X 25 YDAS</t>
  </si>
  <si>
    <t>CE-20210002026499</t>
  </si>
  <si>
    <t>CARPETAS FOLDER DE CARTULINA MANILA (VINCHA INCLUIDA)</t>
  </si>
  <si>
    <t>CE-20210002026500</t>
  </si>
  <si>
    <t>LAPIZ HB CON GOMA CAJA 12 UNIDADES</t>
  </si>
  <si>
    <t>CE-20210002026501</t>
  </si>
  <si>
    <t>ESTILETE GRANDE</t>
  </si>
  <si>
    <t>CE-20210002026502</t>
  </si>
  <si>
    <t>SOBRE BLANCO TAMAÑO OFICIO 75 GR/M2</t>
  </si>
  <si>
    <t>CE-20210002026503</t>
  </si>
  <si>
    <t>MARCADOR PERMANENTE AZUL PUNTA GRUESA</t>
  </si>
  <si>
    <t>CE-20210002026504</t>
  </si>
  <si>
    <t>ETIQUETAS ADHESIVAS 3.5 CM X 2.45 CM T-5</t>
  </si>
  <si>
    <t>CE-20210002026505</t>
  </si>
  <si>
    <t>SOBRE MANILA F5</t>
  </si>
  <si>
    <t>CE-20210002026506</t>
  </si>
  <si>
    <t>TIJERAS MEDIANAS DE 6 PULGADAS</t>
  </si>
  <si>
    <t>CE-20210002026508</t>
  </si>
  <si>
    <t>SOBRE MANILA F2</t>
  </si>
  <si>
    <t>CE-20210002026509</t>
  </si>
  <si>
    <t>SOBRE MANILA F4</t>
  </si>
  <si>
    <t>CE-20210002026510</t>
  </si>
  <si>
    <t>TABLA PARA APUNTES (APOYAMANOS) PLASTICO</t>
  </si>
  <si>
    <t>CE-20210002026511</t>
  </si>
  <si>
    <t>CARPETAS PLASTICAS TRES ANILLOS TAMAÑO OFICIO LOM. 8</t>
  </si>
  <si>
    <t>CE-20210002028772</t>
  </si>
  <si>
    <t>RESMA DE PAPEL BOND A4 DE 75 GR</t>
  </si>
  <si>
    <t>martes 8 de junio de 2021</t>
  </si>
  <si>
    <t>jueves 10 de junio de 2021</t>
  </si>
  <si>
    <t>EDIVA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</si>
</sst>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-* #,##0.00\ &quot;$&quot;_-;\-* #,##0.00\ &quot;$&quot;_-;_-* &quot;-&quot;??\ &quot;$&quot;_-;_-@_-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4F4F4F"/>
      <name val="Verdana"/>
      <family val="2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4" fillId="0" borderId="0" xfId="0" applyFont="1"/>
    <xf numFmtId="164" fontId="4" fillId="0" borderId="0" xfId="1" applyFont="1"/>
    <xf numFmtId="1" fontId="4" fillId="0" borderId="0" xfId="0" applyNumberFormat="1" applyFont="1"/>
    <xf numFmtId="0" fontId="5" fillId="2" borderId="2" xfId="0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4" fontId="4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/>
    <xf numFmtId="1" fontId="4" fillId="0" borderId="1" xfId="0" applyNumberFormat="1" applyFont="1" applyBorder="1"/>
    <xf numFmtId="0" fontId="4" fillId="6" borderId="1" xfId="0" applyFont="1" applyFill="1" applyBorder="1"/>
    <xf numFmtId="1" fontId="4" fillId="6" borderId="1" xfId="0" applyNumberFormat="1" applyFont="1" applyFill="1" applyBorder="1"/>
    <xf numFmtId="0" fontId="8" fillId="4" borderId="1" xfId="0" applyFont="1" applyFill="1" applyBorder="1"/>
    <xf numFmtId="0" fontId="9" fillId="4" borderId="1" xfId="3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22" fontId="8" fillId="4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vertical="center" wrapText="1"/>
    </xf>
    <xf numFmtId="164" fontId="8" fillId="4" borderId="1" xfId="1" applyFont="1" applyFill="1" applyBorder="1"/>
    <xf numFmtId="0" fontId="8" fillId="3" borderId="1" xfId="0" applyFont="1" applyFill="1" applyBorder="1"/>
    <xf numFmtId="0" fontId="9" fillId="3" borderId="1" xfId="3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22" fontId="8" fillId="3" borderId="1" xfId="0" applyNumberFormat="1" applyFont="1" applyFill="1" applyBorder="1" applyAlignment="1">
      <alignment horizontal="left" vertical="top" wrapText="1"/>
    </xf>
    <xf numFmtId="164" fontId="8" fillId="3" borderId="1" xfId="1" applyFont="1" applyFill="1" applyBorder="1"/>
    <xf numFmtId="14" fontId="8" fillId="3" borderId="1" xfId="0" applyNumberFormat="1" applyFont="1" applyFill="1" applyBorder="1"/>
    <xf numFmtId="1" fontId="8" fillId="3" borderId="1" xfId="0" applyNumberFormat="1" applyFont="1" applyFill="1" applyBorder="1"/>
    <xf numFmtId="0" fontId="8" fillId="3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left" vertical="top" wrapText="1"/>
    </xf>
    <xf numFmtId="0" fontId="8" fillId="7" borderId="1" xfId="0" applyFont="1" applyFill="1" applyBorder="1"/>
    <xf numFmtId="0" fontId="9" fillId="7" borderId="1" xfId="3" applyFont="1" applyFill="1" applyBorder="1" applyAlignment="1">
      <alignment horizontal="left" vertical="top" wrapText="1"/>
    </xf>
    <xf numFmtId="22" fontId="8" fillId="7" borderId="1" xfId="0" applyNumberFormat="1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vertical="center" wrapText="1"/>
    </xf>
    <xf numFmtId="164" fontId="8" fillId="7" borderId="1" xfId="1" applyFont="1" applyFill="1" applyBorder="1"/>
    <xf numFmtId="14" fontId="8" fillId="7" borderId="1" xfId="0" applyNumberFormat="1" applyFont="1" applyFill="1" applyBorder="1"/>
    <xf numFmtId="1" fontId="8" fillId="7" borderId="1" xfId="0" applyNumberFormat="1" applyFont="1" applyFill="1" applyBorder="1"/>
    <xf numFmtId="1" fontId="4" fillId="0" borderId="3" xfId="0" applyNumberFormat="1" applyFont="1" applyBorder="1"/>
    <xf numFmtId="1" fontId="4" fillId="6" borderId="3" xfId="0" applyNumberFormat="1" applyFont="1" applyFill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/>
    <xf numFmtId="14" fontId="4" fillId="0" borderId="0" xfId="0" applyNumberFormat="1" applyFont="1" applyBorder="1"/>
    <xf numFmtId="0" fontId="4" fillId="0" borderId="0" xfId="0" applyFont="1" applyBorder="1"/>
    <xf numFmtId="1" fontId="5" fillId="0" borderId="0" xfId="0" applyNumberFormat="1" applyFont="1" applyFill="1" applyBorder="1"/>
    <xf numFmtId="0" fontId="12" fillId="5" borderId="1" xfId="0" applyFont="1" applyFill="1" applyBorder="1" applyAlignment="1">
      <alignment vertical="center" wrapText="1"/>
    </xf>
    <xf numFmtId="164" fontId="12" fillId="5" borderId="1" xfId="1" applyFont="1" applyFill="1" applyBorder="1" applyAlignment="1">
      <alignment vertical="center" wrapText="1"/>
    </xf>
    <xf numFmtId="14" fontId="12" fillId="5" borderId="1" xfId="0" applyNumberFormat="1" applyFont="1" applyFill="1" applyBorder="1" applyAlignment="1">
      <alignment wrapText="1"/>
    </xf>
    <xf numFmtId="0" fontId="13" fillId="0" borderId="1" xfId="0" applyFont="1" applyBorder="1"/>
    <xf numFmtId="164" fontId="13" fillId="0" borderId="3" xfId="1" applyFont="1" applyBorder="1"/>
    <xf numFmtId="164" fontId="13" fillId="0" borderId="1" xfId="1" applyFont="1" applyBorder="1"/>
    <xf numFmtId="0" fontId="13" fillId="6" borderId="1" xfId="0" applyFont="1" applyFill="1" applyBorder="1"/>
    <xf numFmtId="164" fontId="13" fillId="6" borderId="3" xfId="1" applyFont="1" applyFill="1" applyBorder="1"/>
    <xf numFmtId="164" fontId="13" fillId="6" borderId="1" xfId="1" applyFont="1" applyFill="1" applyBorder="1"/>
    <xf numFmtId="164" fontId="12" fillId="0" borderId="3" xfId="1" applyFont="1" applyBorder="1"/>
    <xf numFmtId="164" fontId="12" fillId="0" borderId="1" xfId="1" applyFont="1" applyBorder="1"/>
    <xf numFmtId="1" fontId="13" fillId="0" borderId="3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0" borderId="1" xfId="1" applyNumberFormat="1" applyFont="1" applyBorder="1" applyAlignment="1">
      <alignment horizontal="center"/>
    </xf>
    <xf numFmtId="1" fontId="12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3" fillId="6" borderId="1" xfId="1" applyNumberFormat="1" applyFont="1" applyFill="1" applyBorder="1" applyAlignment="1">
      <alignment horizontal="center"/>
    </xf>
    <xf numFmtId="1" fontId="12" fillId="6" borderId="1" xfId="1" applyNumberFormat="1" applyFont="1" applyFill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5" borderId="10" xfId="0" applyFont="1" applyFill="1" applyBorder="1" applyAlignment="1">
      <alignment vertical="center" wrapText="1"/>
    </xf>
    <xf numFmtId="0" fontId="3" fillId="0" borderId="0" xfId="0" applyFont="1"/>
    <xf numFmtId="0" fontId="14" fillId="0" borderId="1" xfId="0" applyFont="1" applyBorder="1"/>
    <xf numFmtId="0" fontId="15" fillId="0" borderId="1" xfId="0" applyFont="1" applyFill="1" applyBorder="1"/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8" fillId="0" borderId="1" xfId="0" applyFont="1" applyFill="1" applyBorder="1"/>
    <xf numFmtId="0" fontId="9" fillId="0" borderId="1" xfId="3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4" fontId="8" fillId="0" borderId="1" xfId="1" applyFont="1" applyFill="1" applyBorder="1"/>
    <xf numFmtId="14" fontId="8" fillId="0" borderId="1" xfId="0" applyNumberFormat="1" applyFont="1" applyFill="1" applyBorder="1"/>
    <xf numFmtId="1" fontId="8" fillId="0" borderId="1" xfId="0" applyNumberFormat="1" applyFont="1" applyFill="1" applyBorder="1"/>
    <xf numFmtId="164" fontId="8" fillId="0" borderId="1" xfId="1" applyFont="1" applyFill="1" applyBorder="1" applyAlignment="1">
      <alignment horizontal="left" vertical="top" wrapText="1"/>
    </xf>
    <xf numFmtId="164" fontId="8" fillId="0" borderId="1" xfId="1" applyFont="1" applyFill="1" applyBorder="1" applyAlignment="1">
      <alignment vertical="center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/>
    <xf numFmtId="14" fontId="8" fillId="0" borderId="1" xfId="0" applyNumberFormat="1" applyFont="1" applyFill="1" applyBorder="1" applyAlignment="1">
      <alignment wrapText="1"/>
    </xf>
    <xf numFmtId="0" fontId="8" fillId="8" borderId="1" xfId="0" applyFont="1" applyFill="1" applyBorder="1"/>
    <xf numFmtId="0" fontId="9" fillId="8" borderId="1" xfId="3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 wrapText="1"/>
    </xf>
    <xf numFmtId="22" fontId="8" fillId="8" borderId="1" xfId="0" applyNumberFormat="1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vertical="center" wrapText="1"/>
    </xf>
    <xf numFmtId="164" fontId="8" fillId="8" borderId="1" xfId="1" applyFont="1" applyFill="1" applyBorder="1"/>
    <xf numFmtId="14" fontId="8" fillId="8" borderId="1" xfId="0" applyNumberFormat="1" applyFont="1" applyFill="1" applyBorder="1"/>
    <xf numFmtId="1" fontId="8" fillId="8" borderId="1" xfId="0" applyNumberFormat="1" applyFont="1" applyFill="1" applyBorder="1"/>
    <xf numFmtId="22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wrapText="1"/>
    </xf>
    <xf numFmtId="0" fontId="12" fillId="5" borderId="5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1" fontId="12" fillId="0" borderId="1" xfId="0" applyNumberFormat="1" applyFont="1" applyBorder="1"/>
    <xf numFmtId="4" fontId="13" fillId="0" borderId="3" xfId="1" applyNumberFormat="1" applyFont="1" applyBorder="1"/>
    <xf numFmtId="4" fontId="13" fillId="6" borderId="3" xfId="1" applyNumberFormat="1" applyFont="1" applyFill="1" applyBorder="1"/>
    <xf numFmtId="4" fontId="12" fillId="0" borderId="3" xfId="1" applyNumberFormat="1" applyFont="1" applyBorder="1"/>
    <xf numFmtId="1" fontId="13" fillId="0" borderId="3" xfId="0" applyNumberFormat="1" applyFont="1" applyBorder="1"/>
    <xf numFmtId="1" fontId="13" fillId="6" borderId="3" xfId="0" applyNumberFormat="1" applyFont="1" applyFill="1" applyBorder="1"/>
    <xf numFmtId="1" fontId="12" fillId="0" borderId="3" xfId="0" applyNumberFormat="1" applyFont="1" applyBorder="1"/>
    <xf numFmtId="164" fontId="13" fillId="4" borderId="1" xfId="1" applyFont="1" applyFill="1" applyBorder="1"/>
    <xf numFmtId="164" fontId="0" fillId="0" borderId="0" xfId="0" applyNumberFormat="1"/>
    <xf numFmtId="1" fontId="13" fillId="0" borderId="1" xfId="0" applyNumberFormat="1" applyFont="1" applyBorder="1"/>
    <xf numFmtId="1" fontId="13" fillId="4" borderId="1" xfId="0" applyNumberFormat="1" applyFont="1" applyFill="1" applyBorder="1"/>
    <xf numFmtId="1" fontId="13" fillId="6" borderId="1" xfId="0" applyNumberFormat="1" applyFont="1" applyFill="1" applyBorder="1"/>
    <xf numFmtId="0" fontId="15" fillId="5" borderId="1" xfId="0" applyFont="1" applyFill="1" applyBorder="1" applyAlignment="1">
      <alignment horizontal="center" vertical="center" wrapText="1"/>
    </xf>
    <xf numFmtId="164" fontId="14" fillId="0" borderId="1" xfId="1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10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/>
    </xf>
    <xf numFmtId="164" fontId="8" fillId="7" borderId="1" xfId="1" applyFont="1" applyFill="1" applyBorder="1" applyAlignment="1">
      <alignment horizontal="left" vertical="top" wrapText="1"/>
    </xf>
    <xf numFmtId="164" fontId="8" fillId="7" borderId="1" xfId="1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left" vertical="top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3" fillId="0" borderId="3" xfId="0" applyFont="1" applyBorder="1"/>
    <xf numFmtId="0" fontId="13" fillId="6" borderId="3" xfId="0" applyFont="1" applyFill="1" applyBorder="1"/>
    <xf numFmtId="0" fontId="12" fillId="0" borderId="5" xfId="0" applyFont="1" applyBorder="1" applyAlignment="1">
      <alignment horizontal="center"/>
    </xf>
    <xf numFmtId="164" fontId="19" fillId="0" borderId="3" xfId="1" applyFont="1" applyBorder="1"/>
    <xf numFmtId="164" fontId="19" fillId="6" borderId="3" xfId="1" applyFont="1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164" fontId="20" fillId="0" borderId="0" xfId="0" applyNumberFormat="1" applyFont="1"/>
    <xf numFmtId="0" fontId="12" fillId="5" borderId="13" xfId="0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left" vertical="top" wrapText="1"/>
    </xf>
    <xf numFmtId="164" fontId="12" fillId="0" borderId="0" xfId="1" applyFont="1" applyBorder="1"/>
    <xf numFmtId="164" fontId="8" fillId="3" borderId="1" xfId="1" applyFont="1" applyFill="1" applyBorder="1" applyAlignment="1">
      <alignment horizontal="left" vertical="top" wrapText="1"/>
    </xf>
    <xf numFmtId="164" fontId="12" fillId="4" borderId="1" xfId="1" applyFont="1" applyFill="1" applyBorder="1"/>
    <xf numFmtId="164" fontId="19" fillId="5" borderId="5" xfId="1" applyFont="1" applyFill="1" applyBorder="1" applyAlignment="1">
      <alignment horizontal="center"/>
    </xf>
    <xf numFmtId="164" fontId="12" fillId="5" borderId="3" xfId="1" applyFont="1" applyFill="1" applyBorder="1"/>
    <xf numFmtId="164" fontId="12" fillId="5" borderId="1" xfId="1" applyFont="1" applyFill="1" applyBorder="1"/>
    <xf numFmtId="9" fontId="19" fillId="5" borderId="3" xfId="4" applyFont="1" applyFill="1" applyBorder="1" applyAlignment="1">
      <alignment horizontal="center"/>
    </xf>
    <xf numFmtId="9" fontId="19" fillId="0" borderId="3" xfId="4" applyFont="1" applyBorder="1" applyAlignment="1">
      <alignment horizontal="center"/>
    </xf>
    <xf numFmtId="164" fontId="12" fillId="6" borderId="3" xfId="1" applyFont="1" applyFill="1" applyBorder="1"/>
    <xf numFmtId="164" fontId="12" fillId="6" borderId="1" xfId="1" applyFont="1" applyFill="1" applyBorder="1"/>
    <xf numFmtId="164" fontId="8" fillId="8" borderId="1" xfId="1" applyFont="1" applyFill="1" applyBorder="1" applyAlignment="1">
      <alignment horizontal="left" vertical="top" wrapText="1"/>
    </xf>
    <xf numFmtId="164" fontId="0" fillId="0" borderId="1" xfId="0" applyNumberFormat="1" applyBorder="1"/>
    <xf numFmtId="0" fontId="8" fillId="0" borderId="0" xfId="0" applyFont="1" applyFill="1" applyBorder="1"/>
    <xf numFmtId="0" fontId="9" fillId="0" borderId="0" xfId="3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4" fontId="8" fillId="0" borderId="0" xfId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164" fontId="8" fillId="0" borderId="0" xfId="1" applyFont="1" applyFill="1" applyBorder="1"/>
    <xf numFmtId="22" fontId="8" fillId="0" borderId="0" xfId="0" applyNumberFormat="1" applyFont="1" applyFill="1" applyBorder="1" applyAlignment="1">
      <alignment horizontal="left" vertical="top"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 vertical="top" wrapText="1"/>
    </xf>
    <xf numFmtId="164" fontId="8" fillId="6" borderId="1" xfId="1" applyFont="1" applyFill="1" applyBorder="1" applyAlignment="1">
      <alignment horizontal="left" vertical="top" wrapText="1"/>
    </xf>
    <xf numFmtId="164" fontId="8" fillId="6" borderId="1" xfId="1" applyFont="1" applyFill="1" applyBorder="1" applyAlignment="1">
      <alignment vertical="center" wrapText="1"/>
    </xf>
    <xf numFmtId="164" fontId="8" fillId="6" borderId="1" xfId="1" applyFont="1" applyFill="1" applyBorder="1"/>
    <xf numFmtId="22" fontId="8" fillId="6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right"/>
    </xf>
    <xf numFmtId="0" fontId="2" fillId="10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center" vertical="center" wrapText="1"/>
    </xf>
    <xf numFmtId="164" fontId="2" fillId="10" borderId="2" xfId="1" applyFont="1" applyFill="1" applyBorder="1" applyAlignment="1">
      <alignment horizontal="left" vertical="center" wrapText="1"/>
    </xf>
    <xf numFmtId="14" fontId="2" fillId="10" borderId="2" xfId="0" applyNumberFormat="1" applyFont="1" applyFill="1" applyBorder="1" applyAlignment="1">
      <alignment horizontal="left" vertical="center" wrapText="1"/>
    </xf>
    <xf numFmtId="1" fontId="5" fillId="10" borderId="2" xfId="0" applyNumberFormat="1" applyFont="1" applyFill="1" applyBorder="1" applyAlignment="1">
      <alignment horizontal="center" vertical="center" wrapText="1"/>
    </xf>
    <xf numFmtId="49" fontId="2" fillId="10" borderId="2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/>
    <xf numFmtId="49" fontId="8" fillId="0" borderId="0" xfId="0" applyNumberFormat="1" applyFont="1" applyFill="1" applyBorder="1"/>
    <xf numFmtId="49" fontId="4" fillId="0" borderId="0" xfId="0" applyNumberFormat="1" applyFont="1"/>
    <xf numFmtId="49" fontId="8" fillId="0" borderId="1" xfId="0" applyNumberFormat="1" applyFont="1" applyFill="1" applyBorder="1" applyAlignment="1">
      <alignment wrapText="1"/>
    </xf>
    <xf numFmtId="49" fontId="9" fillId="0" borderId="0" xfId="3" applyNumberFormat="1" applyFont="1" applyFill="1" applyBorder="1" applyAlignment="1">
      <alignment horizontal="left" vertical="top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0" fontId="22" fillId="11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64" fontId="12" fillId="0" borderId="3" xfId="1" applyFont="1" applyBorder="1" applyAlignment="1">
      <alignment vertical="center"/>
    </xf>
    <xf numFmtId="9" fontId="19" fillId="0" borderId="1" xfId="4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166" fontId="19" fillId="0" borderId="1" xfId="4" applyNumberFormat="1" applyFont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164" fontId="12" fillId="11" borderId="3" xfId="1" applyFont="1" applyFill="1" applyBorder="1" applyAlignment="1">
      <alignment vertical="center"/>
    </xf>
    <xf numFmtId="9" fontId="19" fillId="11" borderId="1" xfId="4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166" fontId="19" fillId="11" borderId="1" xfId="4" applyNumberFormat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9" fontId="19" fillId="5" borderId="1" xfId="4" applyFont="1" applyFill="1" applyBorder="1" applyAlignment="1">
      <alignment horizontal="center" vertical="center"/>
    </xf>
    <xf numFmtId="164" fontId="12" fillId="5" borderId="1" xfId="1" applyFont="1" applyFill="1" applyBorder="1" applyAlignment="1">
      <alignment vertical="center"/>
    </xf>
    <xf numFmtId="164" fontId="12" fillId="5" borderId="0" xfId="1" applyFont="1" applyFill="1" applyBorder="1" applyAlignment="1">
      <alignment vertical="center"/>
    </xf>
    <xf numFmtId="9" fontId="19" fillId="5" borderId="0" xfId="4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2" fillId="0" borderId="0" xfId="1" applyFont="1" applyFill="1" applyBorder="1" applyAlignment="1">
      <alignment vertical="center"/>
    </xf>
    <xf numFmtId="9" fontId="19" fillId="0" borderId="0" xfId="4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11" borderId="1" xfId="0" applyFont="1" applyFill="1" applyBorder="1" applyAlignment="1">
      <alignment vertical="center"/>
    </xf>
    <xf numFmtId="0" fontId="16" fillId="13" borderId="1" xfId="0" applyFont="1" applyFill="1" applyBorder="1" applyAlignment="1">
      <alignment vertical="center" wrapText="1"/>
    </xf>
    <xf numFmtId="164" fontId="16" fillId="12" borderId="1" xfId="0" applyNumberFormat="1" applyFont="1" applyFill="1" applyBorder="1" applyAlignment="1">
      <alignment vertical="center" wrapText="1"/>
    </xf>
    <xf numFmtId="164" fontId="16" fillId="13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vertical="center" wrapText="1"/>
    </xf>
    <xf numFmtId="0" fontId="8" fillId="13" borderId="1" xfId="0" applyFont="1" applyFill="1" applyBorder="1" applyAlignment="1">
      <alignment vertical="center"/>
    </xf>
    <xf numFmtId="0" fontId="9" fillId="13" borderId="1" xfId="3" applyFont="1" applyFill="1" applyBorder="1" applyAlignment="1">
      <alignment horizontal="left" vertical="center" wrapText="1"/>
    </xf>
    <xf numFmtId="0" fontId="7" fillId="13" borderId="1" xfId="3" applyFill="1" applyBorder="1" applyAlignment="1">
      <alignment horizontal="left" vertical="center" wrapText="1"/>
    </xf>
    <xf numFmtId="0" fontId="16" fillId="13" borderId="1" xfId="0" applyFont="1" applyFill="1" applyBorder="1" applyAlignment="1">
      <alignment horizontal="left" vertical="center" wrapText="1"/>
    </xf>
    <xf numFmtId="22" fontId="16" fillId="13" borderId="1" xfId="0" applyNumberFormat="1" applyFont="1" applyFill="1" applyBorder="1" applyAlignment="1">
      <alignment horizontal="left" vertical="center" wrapText="1"/>
    </xf>
    <xf numFmtId="164" fontId="8" fillId="13" borderId="1" xfId="1" applyFont="1" applyFill="1" applyBorder="1" applyAlignment="1">
      <alignment vertical="center"/>
    </xf>
    <xf numFmtId="22" fontId="8" fillId="13" borderId="1" xfId="0" applyNumberFormat="1" applyFont="1" applyFill="1" applyBorder="1" applyAlignment="1">
      <alignment horizontal="left" vertical="center" wrapText="1"/>
    </xf>
    <xf numFmtId="1" fontId="8" fillId="13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3" applyFont="1" applyFill="1" applyBorder="1" applyAlignment="1">
      <alignment horizontal="left" vertical="center" wrapText="1"/>
    </xf>
    <xf numFmtId="0" fontId="7" fillId="12" borderId="1" xfId="3" applyFill="1" applyBorder="1" applyAlignment="1">
      <alignment horizontal="left" vertical="center" wrapText="1"/>
    </xf>
    <xf numFmtId="0" fontId="16" fillId="12" borderId="1" xfId="0" applyFont="1" applyFill="1" applyBorder="1" applyAlignment="1">
      <alignment horizontal="left" vertical="center" wrapText="1"/>
    </xf>
    <xf numFmtId="164" fontId="16" fillId="12" borderId="1" xfId="1" applyFont="1" applyFill="1" applyBorder="1" applyAlignment="1">
      <alignment horizontal="left" vertical="center" wrapText="1"/>
    </xf>
    <xf numFmtId="164" fontId="8" fillId="0" borderId="1" xfId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22" fontId="16" fillId="12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vertical="center"/>
    </xf>
    <xf numFmtId="164" fontId="16" fillId="13" borderId="1" xfId="1" applyFont="1" applyFill="1" applyBorder="1" applyAlignment="1">
      <alignment horizontal="left" vertical="center" wrapText="1"/>
    </xf>
    <xf numFmtId="164" fontId="8" fillId="13" borderId="1" xfId="0" applyNumberFormat="1" applyFont="1" applyFill="1" applyBorder="1" applyAlignment="1">
      <alignment horizontal="left" vertical="center" wrapText="1"/>
    </xf>
    <xf numFmtId="10" fontId="8" fillId="13" borderId="1" xfId="4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9" fillId="2" borderId="1" xfId="3" applyFont="1" applyFill="1" applyBorder="1" applyAlignment="1">
      <alignment horizontal="left" vertical="center" wrapText="1"/>
    </xf>
    <xf numFmtId="0" fontId="7" fillId="2" borderId="1" xfId="3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64" fontId="16" fillId="2" borderId="1" xfId="1" applyFont="1" applyFill="1" applyBorder="1" applyAlignment="1">
      <alignment horizontal="left" vertical="center" wrapText="1"/>
    </xf>
    <xf numFmtId="164" fontId="8" fillId="2" borderId="1" xfId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left" vertical="center" wrapText="1"/>
    </xf>
    <xf numFmtId="22" fontId="16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" fontId="4" fillId="0" borderId="0" xfId="1" applyNumberFormat="1" applyFont="1" applyAlignment="1">
      <alignment vertical="center"/>
    </xf>
    <xf numFmtId="164" fontId="4" fillId="0" borderId="0" xfId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/>
    </xf>
    <xf numFmtId="0" fontId="9" fillId="14" borderId="1" xfId="3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10" fontId="8" fillId="14" borderId="1" xfId="4" applyNumberFormat="1" applyFont="1" applyFill="1" applyBorder="1" applyAlignment="1">
      <alignment horizontal="center" vertical="center" wrapText="1"/>
    </xf>
    <xf numFmtId="22" fontId="16" fillId="14" borderId="1" xfId="0" applyNumberFormat="1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21" fillId="14" borderId="3" xfId="0" applyFont="1" applyFill="1" applyBorder="1" applyAlignment="1">
      <alignment horizontal="center" vertical="center" wrapText="1"/>
    </xf>
    <xf numFmtId="14" fontId="8" fillId="14" borderId="1" xfId="0" applyNumberFormat="1" applyFont="1" applyFill="1" applyBorder="1" applyAlignment="1">
      <alignment horizontal="center" vertical="center" wrapText="1"/>
    </xf>
    <xf numFmtId="1" fontId="8" fillId="14" borderId="1" xfId="0" applyNumberFormat="1" applyFont="1" applyFill="1" applyBorder="1" applyAlignment="1">
      <alignment horizontal="center" vertical="center"/>
    </xf>
    <xf numFmtId="14" fontId="8" fillId="1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1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16" fillId="14" borderId="1" xfId="1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3" applyBorder="1" applyAlignment="1">
      <alignment horizontal="center" vertical="center" wrapText="1"/>
    </xf>
    <xf numFmtId="0" fontId="7" fillId="14" borderId="1" xfId="3" applyFill="1" applyBorder="1" applyAlignment="1">
      <alignment horizontal="center" vertical="center"/>
    </xf>
    <xf numFmtId="43" fontId="4" fillId="0" borderId="0" xfId="5" applyFont="1" applyAlignment="1">
      <alignment vertical="center"/>
    </xf>
    <xf numFmtId="43" fontId="4" fillId="0" borderId="0" xfId="5" applyFont="1" applyBorder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5" borderId="9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164" fontId="16" fillId="0" borderId="1" xfId="1" applyFont="1" applyFill="1" applyBorder="1" applyAlignment="1">
      <alignment horizontal="left" vertical="center" wrapText="1"/>
    </xf>
    <xf numFmtId="43" fontId="16" fillId="0" borderId="1" xfId="5" applyFont="1" applyFill="1" applyBorder="1" applyAlignment="1">
      <alignment horizontal="left" vertical="center" wrapText="1"/>
    </xf>
    <xf numFmtId="43" fontId="4" fillId="0" borderId="0" xfId="5" applyFont="1" applyFill="1" applyAlignment="1">
      <alignment vertical="center"/>
    </xf>
    <xf numFmtId="0" fontId="4" fillId="0" borderId="0" xfId="0" applyFont="1" applyFill="1" applyAlignment="1">
      <alignment vertical="center"/>
    </xf>
    <xf numFmtId="43" fontId="5" fillId="0" borderId="0" xfId="5" applyFont="1" applyFill="1" applyBorder="1" applyAlignment="1">
      <alignment vertical="center"/>
    </xf>
    <xf numFmtId="164" fontId="4" fillId="0" borderId="0" xfId="1" applyFont="1" applyFill="1" applyAlignment="1">
      <alignment vertical="center"/>
    </xf>
    <xf numFmtId="164" fontId="2" fillId="2" borderId="2" xfId="1" applyFont="1" applyFill="1" applyBorder="1" applyAlignment="1">
      <alignment horizontal="center" vertical="center" wrapText="1"/>
    </xf>
    <xf numFmtId="10" fontId="8" fillId="0" borderId="1" xfId="4" applyNumberFormat="1" applyFont="1" applyFill="1" applyBorder="1" applyAlignment="1">
      <alignment horizontal="center" vertical="center" wrapText="1"/>
    </xf>
    <xf numFmtId="10" fontId="8" fillId="2" borderId="1" xfId="4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</cellXfs>
  <cellStyles count="6">
    <cellStyle name="Hipervínculo" xfId="3" builtinId="8"/>
    <cellStyle name="Millares" xfId="5" builtinId="3"/>
    <cellStyle name="Moneda" xfId="1" builtinId="4"/>
    <cellStyle name="Moneda 2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praspublicas.gob.ec/ProcesoContratacion/compras/PC/informacionProcesoContratacion2.cpe?idSoliCompra=AcTDVJWEY1-D9c7b8N0Z2era4rdpAzeiKFkmOyXU94s," TargetMode="External"/><Relationship Id="rId21" Type="http://schemas.openxmlformats.org/officeDocument/2006/relationships/hyperlink" Target="https://www.compraspublicas.gob.ec/ProcesoContratacion/compras/PC/informacionProcesoContratacion2.cpe?idSoliCompra=X7FG0OqtNwizE6GvJThT44Tsy2_LPUXHyG6eGzrPQoo," TargetMode="External"/><Relationship Id="rId42" Type="http://schemas.openxmlformats.org/officeDocument/2006/relationships/hyperlink" Target="https://www.compraspublicas.gob.ec/ProcesoContratacion/compras/IC/buscarInfima.cpe" TargetMode="External"/><Relationship Id="rId47" Type="http://schemas.openxmlformats.org/officeDocument/2006/relationships/hyperlink" Target="https://www.compraspublicas.gob.ec/ProcesoContratacion/compras/IC/buscarInfima.cpe" TargetMode="External"/><Relationship Id="rId63" Type="http://schemas.openxmlformats.org/officeDocument/2006/relationships/hyperlink" Target="https://catalogo.compraspublicas.gob.ec/entrar" TargetMode="External"/><Relationship Id="rId68" Type="http://schemas.openxmlformats.org/officeDocument/2006/relationships/hyperlink" Target="https://catalogo.compraspublicas.gob.ec/entrar" TargetMode="External"/><Relationship Id="rId16" Type="http://schemas.openxmlformats.org/officeDocument/2006/relationships/hyperlink" Target="https://www.compraspublicas.gob.ec/ProcesoContratacion/compras/PC/informacionProcesoContratacion2.cpe?idSoliCompra=FB0AezsbcKLzQO82GNbMSmrLDoDptjBP7_IH9EJfBOY," TargetMode="External"/><Relationship Id="rId11" Type="http://schemas.openxmlformats.org/officeDocument/2006/relationships/hyperlink" Target="https://www.compraspublicas.gob.ec/ProcesoContratacion/compras/SC/sci.cpe?idSoliCompra=PZQ6CrGT5Fsodd6dzuyrR3qH2mV-8N0C86yALoetFEw," TargetMode="External"/><Relationship Id="rId32" Type="http://schemas.openxmlformats.org/officeDocument/2006/relationships/hyperlink" Target="https://www.compraspublicas.gob.ec/ProcesoContratacion/compras/PC/informacionProcesoContratacion2.cpe?idSoliCompra=Tqp3p0NLcox6RNcjNMIAlOVL8YZOlgE5YNmQDQpmks0," TargetMode="External"/><Relationship Id="rId37" Type="http://schemas.openxmlformats.org/officeDocument/2006/relationships/hyperlink" Target="https://www.compraspublicas.gob.ec/ProcesoContratacion/compras/PC/informacionProcesoContratacion2.cpe?idSoliCompra=k2yA15JsaaqYhrNu2ofrBpPazVzmY4Ze4KLZJDpLYGw," TargetMode="External"/><Relationship Id="rId53" Type="http://schemas.openxmlformats.org/officeDocument/2006/relationships/hyperlink" Target="https://www.compraspublicas.gob.ec/ProcesoContratacion/compras/IC/buscarInfima.cpe" TargetMode="External"/><Relationship Id="rId58" Type="http://schemas.openxmlformats.org/officeDocument/2006/relationships/hyperlink" Target="https://catalogo.compraspublicas.gob.ec/ordenes" TargetMode="External"/><Relationship Id="rId74" Type="http://schemas.openxmlformats.org/officeDocument/2006/relationships/hyperlink" Target="https://catalogo.compraspublicas.gob.ec/entrar" TargetMode="External"/><Relationship Id="rId79" Type="http://schemas.openxmlformats.org/officeDocument/2006/relationships/hyperlink" Target="https://catalogo.compraspublicas.gob.ec/entrar" TargetMode="External"/><Relationship Id="rId5" Type="http://schemas.openxmlformats.org/officeDocument/2006/relationships/hyperlink" Target="https://www.compraspublicas.gob.ec/ProcesoContratacion/compras/PC/informacionProcesoContratacion2.cpe?idSoliCompra=cUgCB-9tDbqMmcG2rR5O5dcQoMTFgSEENSCT7zTzBXg," TargetMode="External"/><Relationship Id="rId61" Type="http://schemas.openxmlformats.org/officeDocument/2006/relationships/hyperlink" Target="https://catalogo.compraspublicas.gob.ec/ordenes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s://www.compraspublicas.gob.ec/ProcesoContratacion/compras/PC/informacionProcesoContratacion2.cpe?idSoliCompra=xpeY4fkjZQPtaFxBHk5vncT3jpTsPfqZS5lO6oenKbI," TargetMode="External"/><Relationship Id="rId14" Type="http://schemas.openxmlformats.org/officeDocument/2006/relationships/hyperlink" Target="https://www.compraspublicas.gob.ec/ProcesoContratacion/compras/PC/informacionProcesoContratacion2.cpe?idSoliCompra=VhaZcISCcx04TQlsL2dw8DYdl5iD3RDxB8Ql1_VJw7w," TargetMode="External"/><Relationship Id="rId22" Type="http://schemas.openxmlformats.org/officeDocument/2006/relationships/hyperlink" Target="https://www.compraspublicas.gob.ec/ProcesoContratacion/compras/PC/informacionProcesoContratacion2.cpe?idSoliCompra=PYKkWWif5OyaUWaRWM-_xK_2Jak-N6tQ8pB1SQ_jQWA," TargetMode="External"/><Relationship Id="rId27" Type="http://schemas.openxmlformats.org/officeDocument/2006/relationships/hyperlink" Target="https://www.compraspublicas.gob.ec/ProcesoContratacion/compras/PC/informacionProcesoContratacion2.cpe?idSoliCompra=p84JG2Mn5f6E6xfmjWms4JFBjsPrdX9b_YqOo30S-t4," TargetMode="External"/><Relationship Id="rId30" Type="http://schemas.openxmlformats.org/officeDocument/2006/relationships/hyperlink" Target="https://www.compraspublicas.gob.ec/ProcesoContratacion/compras/PC/informacionProcesoContratacion2.cpe?idSoliCompra=Ziw1ttAus1YPFCKfbdmR9cenqiC1HUus1ao8mQDmU_w," TargetMode="External"/><Relationship Id="rId35" Type="http://schemas.openxmlformats.org/officeDocument/2006/relationships/hyperlink" Target="https://www.compraspublicas.gob.ec/ProcesoContratacion/compras/PC/informacionProcesoContratacion2.cpe?idSoliCompra=2BNt59Ph9imrLIHTDFyfSoZD8ZT0BVf4ODFNZzDsMbo," TargetMode="External"/><Relationship Id="rId43" Type="http://schemas.openxmlformats.org/officeDocument/2006/relationships/hyperlink" Target="https://www.compraspublicas.gob.ec/ProcesoContratacion/compras/IC/buscarInfima.cpe" TargetMode="External"/><Relationship Id="rId48" Type="http://schemas.openxmlformats.org/officeDocument/2006/relationships/hyperlink" Target="https://www.compraspublicas.gob.ec/ProcesoContratacion/compras/IC/buscarInfima.cpe" TargetMode="External"/><Relationship Id="rId56" Type="http://schemas.openxmlformats.org/officeDocument/2006/relationships/hyperlink" Target="https://www.compraspublicas.gob.ec/ProcesoContratacion/compras/IC/buscarInfima.cpe" TargetMode="External"/><Relationship Id="rId64" Type="http://schemas.openxmlformats.org/officeDocument/2006/relationships/hyperlink" Target="https://catalogo.compraspublicas.gob.ec/entrar" TargetMode="External"/><Relationship Id="rId69" Type="http://schemas.openxmlformats.org/officeDocument/2006/relationships/hyperlink" Target="https://catalogo.compraspublicas.gob.ec/entrar" TargetMode="External"/><Relationship Id="rId77" Type="http://schemas.openxmlformats.org/officeDocument/2006/relationships/hyperlink" Target="https://catalogo.compraspublicas.gob.ec/entrar" TargetMode="External"/><Relationship Id="rId8" Type="http://schemas.openxmlformats.org/officeDocument/2006/relationships/hyperlink" Target="https://www.compraspublicas.gob.ec/ProcesoContratacion/compras/PC/informacionProcesoContratacion2.cpe?idSoliCompra=Zi_S9RsaXe5dPymMtN_2kgUP1c2M1omUDgtz355ckEI," TargetMode="External"/><Relationship Id="rId51" Type="http://schemas.openxmlformats.org/officeDocument/2006/relationships/hyperlink" Target="https://www.compraspublicas.gob.ec/ProcesoContratacion/compras/IC/buscarInfima.cpe" TargetMode="External"/><Relationship Id="rId72" Type="http://schemas.openxmlformats.org/officeDocument/2006/relationships/hyperlink" Target="https://catalogo.compraspublicas.gob.ec/entrar" TargetMode="External"/><Relationship Id="rId80" Type="http://schemas.openxmlformats.org/officeDocument/2006/relationships/hyperlink" Target="https://catalogo.compraspublicas.gob.ec/entrar" TargetMode="External"/><Relationship Id="rId3" Type="http://schemas.openxmlformats.org/officeDocument/2006/relationships/hyperlink" Target="https://www.compraspublicas.gob.ec/ProcesoContratacion/compras/PC/informacionProcesoContratacion2.cpe?idSoliCompra=lWCOCo6r3thKbM4NCCkZ5N1dcRr1oXvpgm6bCFlIxAI," TargetMode="External"/><Relationship Id="rId12" Type="http://schemas.openxmlformats.org/officeDocument/2006/relationships/hyperlink" Target="https://www.compraspublicas.gob.ec/ProcesoContratacion/compras/PC/informacionProcesoContratacion2.cpe?idSoliCompra=k7XUS5znbSvGpXCkBt3puNp8K60UvAvPcIKZDCN9wTU," TargetMode="External"/><Relationship Id="rId17" Type="http://schemas.openxmlformats.org/officeDocument/2006/relationships/hyperlink" Target="https://www.compraspublicas.gob.ec/ProcesoContratacion/compras/PC/informacionProcesoContratacion2.cpe?idSoliCompra=Fep8A3GS1-GkT2kVIMNkQcB5h9_T3LMt9qpwvIzwVyY," TargetMode="External"/><Relationship Id="rId25" Type="http://schemas.openxmlformats.org/officeDocument/2006/relationships/hyperlink" Target="https://www.compraspublicas.gob.ec/ProcesoContratacion/compras/PC/informacionProcesoContratacion2.cpe?idSoliCompra=h6kpw5JJwEDJbzUaCteiqzdXf-anEvGpDp_3M1Ky5F0," TargetMode="External"/><Relationship Id="rId33" Type="http://schemas.openxmlformats.org/officeDocument/2006/relationships/hyperlink" Target="https://www.compraspublicas.gob.ec/ProcesoContratacion/compras/PC/informacionProcesoContratacion2.cpe?idSoliCompra=P4rvqTbJptYfJDTBenynjbZ3jakYH-n7jEgxtleRqWc," TargetMode="External"/><Relationship Id="rId38" Type="http://schemas.openxmlformats.org/officeDocument/2006/relationships/hyperlink" Target="https://www.compraspublicas.gob.ec/ProcesoContratacion/compras/PC/informacionProcesoContratacion2.cpe?idSoliCompra=HsUOuVE8aV-Pw1gyT8TlJXkElLqCII147dpLFedvso8," TargetMode="External"/><Relationship Id="rId46" Type="http://schemas.openxmlformats.org/officeDocument/2006/relationships/hyperlink" Target="https://www.compraspublicas.gob.ec/ProcesoContratacion/compras/IC/buscarInfima.cpe" TargetMode="External"/><Relationship Id="rId59" Type="http://schemas.openxmlformats.org/officeDocument/2006/relationships/hyperlink" Target="https://catalogo.compraspublicas.gob.ec/ordenes" TargetMode="External"/><Relationship Id="rId67" Type="http://schemas.openxmlformats.org/officeDocument/2006/relationships/hyperlink" Target="https://catalogo.compraspublicas.gob.ec/entrar" TargetMode="External"/><Relationship Id="rId20" Type="http://schemas.openxmlformats.org/officeDocument/2006/relationships/hyperlink" Target="https://www.compraspublicas.gob.ec/ProcesoContratacion/compras/PC/informacionProcesoContratacion2.cpe?idSoliCompra=GQVzewSShQn4ldCScA1-jnM5-mJHprbxacyXiaLCrzc," TargetMode="External"/><Relationship Id="rId41" Type="http://schemas.openxmlformats.org/officeDocument/2006/relationships/hyperlink" Target="https://www.compraspublicas.gob.ec/ProcesoContratacion/compras/IC/buscarInfima.cpe" TargetMode="External"/><Relationship Id="rId54" Type="http://schemas.openxmlformats.org/officeDocument/2006/relationships/hyperlink" Target="https://www.compraspublicas.gob.ec/ProcesoContratacion/compras/IC/buscarInfima.cpe" TargetMode="External"/><Relationship Id="rId62" Type="http://schemas.openxmlformats.org/officeDocument/2006/relationships/hyperlink" Target="https://catalogo.compraspublicas.gob.ec/entrar" TargetMode="External"/><Relationship Id="rId70" Type="http://schemas.openxmlformats.org/officeDocument/2006/relationships/hyperlink" Target="https://catalogo.compraspublicas.gob.ec/entrar" TargetMode="External"/><Relationship Id="rId75" Type="http://schemas.openxmlformats.org/officeDocument/2006/relationships/hyperlink" Target="https://catalogo.compraspublicas.gob.ec/entrar" TargetMode="External"/><Relationship Id="rId1" Type="http://schemas.openxmlformats.org/officeDocument/2006/relationships/hyperlink" Target="https://www.compraspublicas.gob.ec/ProcesoContratacion/compras/PC/informacionProcesoContratacion2.cpe?idSoliCompra=s4xw8WnUrmIFftauVCa_W1oQFY2C7JBs2pbgN9TRT40," TargetMode="External"/><Relationship Id="rId6" Type="http://schemas.openxmlformats.org/officeDocument/2006/relationships/hyperlink" Target="https://www.compraspublicas.gob.ec/ProcesoContratacion/compras/PC/informacionProcesoContratacion2.cpe?idSoliCompra=bRI1cXZWBarf7l54WnXpqhq_vo3Hpp_k1wK2N1cB9gk," TargetMode="External"/><Relationship Id="rId15" Type="http://schemas.openxmlformats.org/officeDocument/2006/relationships/hyperlink" Target="https://www.compraspublicas.gob.ec/ProcesoContratacion/compras/PC/informacionProcesoContratacion2.cpe?idSoliCompra=dVR2DZk0qbJx3NQKGPNnG2DHww38pAaLQ76uYqWCDq4," TargetMode="External"/><Relationship Id="rId23" Type="http://schemas.openxmlformats.org/officeDocument/2006/relationships/hyperlink" Target="https://www.compraspublicas.gob.ec/ProcesoContratacion/compras/PC/informacionProcesoContratacion2.cpe?idSoliCompra=F94DUX9QC65lXXddqGO799UsZjS7dSF7kxh4sNBoXT0," TargetMode="External"/><Relationship Id="rId28" Type="http://schemas.openxmlformats.org/officeDocument/2006/relationships/hyperlink" Target="https://www.compraspublicas.gob.ec/ProcesoContratacion/compras/PC/informacionProcesoContratacion2.cpe?idSoliCompra=WwcCeR6fNG-lSA13XhE6LePjSh9S3h_sP3VN-TGUBiM," TargetMode="External"/><Relationship Id="rId36" Type="http://schemas.openxmlformats.org/officeDocument/2006/relationships/hyperlink" Target="https://www.compraspublicas.gob.ec/ProcesoContratacion/compras/PC/informacionProcesoContratacion2.cpe?idSoliCompra=eo5lMKxCjVltlX1B4u2Hu3PRXxPj2HfP5JJ25OHsB-Q," TargetMode="External"/><Relationship Id="rId49" Type="http://schemas.openxmlformats.org/officeDocument/2006/relationships/hyperlink" Target="https://www.compraspublicas.gob.ec/ProcesoContratacion/compras/IC/buscarInfima.cpe" TargetMode="External"/><Relationship Id="rId57" Type="http://schemas.openxmlformats.org/officeDocument/2006/relationships/hyperlink" Target="https://catalogo.compraspublicas.gob.ec/" TargetMode="External"/><Relationship Id="rId10" Type="http://schemas.openxmlformats.org/officeDocument/2006/relationships/hyperlink" Target="https://www.compraspublicas.gob.ec/ProcesoContratacion/compras/PC/informacionProcesoContratacion2.cpe?idSoliCompra=TulClpW6yrsvQ-MwlhVX7Pg04eimqvsid9Y0L75sPn8," TargetMode="External"/><Relationship Id="rId31" Type="http://schemas.openxmlformats.org/officeDocument/2006/relationships/hyperlink" Target="https://www.compraspublicas.gob.ec/ProcesoContratacion/compras/PC/informacionProcesoContratacion2.cpe?idSoliCompra=VCYDXqqBol2pthnrLvwWpdv2PYRMkvXIE55VmZ9DFfg," TargetMode="External"/><Relationship Id="rId44" Type="http://schemas.openxmlformats.org/officeDocument/2006/relationships/hyperlink" Target="https://www.compraspublicas.gob.ec/ProcesoContratacion/compras/IC/buscarInfima.cpe" TargetMode="External"/><Relationship Id="rId52" Type="http://schemas.openxmlformats.org/officeDocument/2006/relationships/hyperlink" Target="https://www.compraspublicas.gob.ec/ProcesoContratacion/compras/IC/buscarInfima.cpe" TargetMode="External"/><Relationship Id="rId60" Type="http://schemas.openxmlformats.org/officeDocument/2006/relationships/hyperlink" Target="https://catalogo.compraspublicas.gob.ec/ordenes" TargetMode="External"/><Relationship Id="rId65" Type="http://schemas.openxmlformats.org/officeDocument/2006/relationships/hyperlink" Target="https://catalogo.compraspublicas.gob.ec/entrar" TargetMode="External"/><Relationship Id="rId73" Type="http://schemas.openxmlformats.org/officeDocument/2006/relationships/hyperlink" Target="https://catalogo.compraspublicas.gob.ec/entrar" TargetMode="External"/><Relationship Id="rId78" Type="http://schemas.openxmlformats.org/officeDocument/2006/relationships/hyperlink" Target="https://catalogo.compraspublicas.gob.ec/entrar" TargetMode="External"/><Relationship Id="rId81" Type="http://schemas.openxmlformats.org/officeDocument/2006/relationships/hyperlink" Target="https://catalogo.compraspublicas.gob.ec/entrar" TargetMode="External"/><Relationship Id="rId4" Type="http://schemas.openxmlformats.org/officeDocument/2006/relationships/hyperlink" Target="https://www.compraspublicas.gob.ec/ProcesoContratacion/compras/PC/informacionProcesoContratacion2.cpe?idSoliCompra=Pc4GV9yol7CyZ4DmTpAHxGmpFgfsBg_4FVK99TW6igM," TargetMode="External"/><Relationship Id="rId9" Type="http://schemas.openxmlformats.org/officeDocument/2006/relationships/hyperlink" Target="https://www.compraspublicas.gob.ec/ProcesoContratacion/compras/PC/informacionProcesoContratacion2.cpe?idSoliCompra=rRpLGx1ociAYp8IEeUreMD7Gv80H8gJ24rdJgRCspFs," TargetMode="External"/><Relationship Id="rId13" Type="http://schemas.openxmlformats.org/officeDocument/2006/relationships/hyperlink" Target="https://www.compraspublicas.gob.ec/ProcesoContratacion/compras/PC/informacionProcesoContratacion2.cpe?idSoliCompra=TCjpXA9FR_xFl61sGtebzKMG1XDsL3ZEY-sPFNv5ihU," TargetMode="External"/><Relationship Id="rId18" Type="http://schemas.openxmlformats.org/officeDocument/2006/relationships/hyperlink" Target="https://www.compraspublicas.gob.ec/ProcesoContratacion/compras/PC/informacionProcesoContratacion2.cpe?idSoliCompra=wgem5qnZFNA3V-hhYcq1_db6j6gYG3u5G3NDTHdsa8k," TargetMode="External"/><Relationship Id="rId39" Type="http://schemas.openxmlformats.org/officeDocument/2006/relationships/hyperlink" Target="https://www.compraspublicas.gob.ec/ProcesoContratacion/compras/IC/buscarInfima.cpe" TargetMode="External"/><Relationship Id="rId34" Type="http://schemas.openxmlformats.org/officeDocument/2006/relationships/hyperlink" Target="https://www.compraspublicas.gob.ec/ProcesoContratacion/compras/PC/informacionProcesoContratacion2.cpe?idSoliCompra=4SOhU9P22iyyj7gmFHRO8I7oHs1VKb08-SxbbYKeGN0," TargetMode="External"/><Relationship Id="rId50" Type="http://schemas.openxmlformats.org/officeDocument/2006/relationships/hyperlink" Target="https://www.compraspublicas.gob.ec/ProcesoContratacion/compras/IC/buscarInfima.cpe" TargetMode="External"/><Relationship Id="rId55" Type="http://schemas.openxmlformats.org/officeDocument/2006/relationships/hyperlink" Target="https://www.compraspublicas.gob.ec/ProcesoContratacion/compras/IC/buscarInfima.cpe" TargetMode="External"/><Relationship Id="rId76" Type="http://schemas.openxmlformats.org/officeDocument/2006/relationships/hyperlink" Target="https://catalogo.compraspublicas.gob.ec/entrar" TargetMode="External"/><Relationship Id="rId7" Type="http://schemas.openxmlformats.org/officeDocument/2006/relationships/hyperlink" Target="https://www.compraspublicas.gob.ec/ProcesoContratacion/compras/PC/informacionProcesoContratacion2.cpe?idSoliCompra=--Kn_FDKXRMudyVI465cb5KiXDjF15V24Sm_F6jvo9s," TargetMode="External"/><Relationship Id="rId71" Type="http://schemas.openxmlformats.org/officeDocument/2006/relationships/hyperlink" Target="https://catalogo.compraspublicas.gob.ec/entrar" TargetMode="External"/><Relationship Id="rId2" Type="http://schemas.openxmlformats.org/officeDocument/2006/relationships/hyperlink" Target="https://www.compraspublicas.gob.ec/ProcesoContratacion/compras/PC/informacionProcesoContratacion2.cpe?idSoliCompra=ss-cQ8rP9EP8RZAl3Gi53oR2EUcx6JFheOyi_aDuhGM," TargetMode="External"/><Relationship Id="rId29" Type="http://schemas.openxmlformats.org/officeDocument/2006/relationships/hyperlink" Target="https://www.compraspublicas.gob.ec/ProcesoContratacion/compras/PC/informacionProcesoContratacion2.cpe?idSoliCompra=eoC6TdfrQ7yHG9WHluhwroav3pEch_grP53RpKBcZ_g," TargetMode="External"/><Relationship Id="rId24" Type="http://schemas.openxmlformats.org/officeDocument/2006/relationships/hyperlink" Target="https://www.compraspublicas.gob.ec/ProcesoContratacion/compras/PC/informacionProcesoContratacion2.cpe?idSoliCompra=Lj_vNQFtkKYE8MEXVW-vwpAsX3e3JpRLuwnILe4o3bY," TargetMode="External"/><Relationship Id="rId40" Type="http://schemas.openxmlformats.org/officeDocument/2006/relationships/hyperlink" Target="https://www.compraspublicas.gob.ec/ProcesoContratacion/compras/IC/buscarInfima.cpe" TargetMode="External"/><Relationship Id="rId45" Type="http://schemas.openxmlformats.org/officeDocument/2006/relationships/hyperlink" Target="https://www.compraspublicas.gob.ec/ProcesoContratacion/compras/IC/buscarInfima.cpe" TargetMode="External"/><Relationship Id="rId66" Type="http://schemas.openxmlformats.org/officeDocument/2006/relationships/hyperlink" Target="https://catalogo.compraspublicas.gob.ec/entra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mpraspublicas.gob.ec/ProcesoContratacion/compras/PC/informacionProcesoContratacion2.cpe?idSoliCompra=NufXPNhejJCjRrans8TPzPMauU1oQ8Aai3Y6T5_oylM," TargetMode="External"/><Relationship Id="rId21" Type="http://schemas.openxmlformats.org/officeDocument/2006/relationships/hyperlink" Target="https://www.compraspublicas.gob.ec/ProcesoContratacion/compras/SC/sci.cpe?idSoliCompra=1jufy5vH9P511np0sXUFm-uuDccObZ4E05y5ZksIKT8," TargetMode="External"/><Relationship Id="rId42" Type="http://schemas.openxmlformats.org/officeDocument/2006/relationships/hyperlink" Target="https://www.compraspublicas.gob.ec/ProcesoContratacion/compras/SC/sci.cpe?idSoliCompra=2lYqchHquMShgu0T_IjPfBFPPq_w2fhof4x-JP7QFZQ," TargetMode="External"/><Relationship Id="rId63" Type="http://schemas.openxmlformats.org/officeDocument/2006/relationships/hyperlink" Target="https://www.compraspublicas.gob.ec/ProcesoContratacion/compras/PC/informacionProcesoContratacion2.cpe?idSoliCompra=KzOOSO4vRWS4cpzJ6Vf7bNdns2EHnxDQsRs71CQxES0," TargetMode="External"/><Relationship Id="rId84" Type="http://schemas.openxmlformats.org/officeDocument/2006/relationships/hyperlink" Target="https://www.compraspublicas.gob.ec/ProcesoContratacion/compras/PC/informacionProcesoContratacion2.cpe?idSoliCompra=EeO721LXHlaNrKZLRqv3q7b5VAUCVxjkFv7VgFlZri8," TargetMode="External"/><Relationship Id="rId138" Type="http://schemas.openxmlformats.org/officeDocument/2006/relationships/hyperlink" Target="https://www.compraspublicas.gob.ec/ProcesoContratacion/compras/PC/informacionProcesoContratacion2.cpe?idSoliCompra=qURypaeIDPzrRpbgyw8h4mWL5XvurR2Lys0PkvY4Q44," TargetMode="External"/><Relationship Id="rId107" Type="http://schemas.openxmlformats.org/officeDocument/2006/relationships/hyperlink" Target="https://www.compraspublicas.gob.ec/ProcesoContratacion/compras/PC/informacionProcesoContratacion2.cpe?idSoliCompra=Ai4_Zwcu-fZwIt06M36YxEwyQl1fAdXM4e5O5ArOQZs," TargetMode="External"/><Relationship Id="rId11" Type="http://schemas.openxmlformats.org/officeDocument/2006/relationships/hyperlink" Target="https://www.compraspublicas.gob.ec/ProcesoContratacion/compras/PC/informacionProcesoContratacion2.cpe?idSoliCompra=oXlWtexDSUvIQAHfqPkVzycykxJL3R-el-Ptw81-dYw," TargetMode="External"/><Relationship Id="rId32" Type="http://schemas.openxmlformats.org/officeDocument/2006/relationships/hyperlink" Target="https://www.compraspublicas.gob.ec/ProcesoContratacion/compras/PC/informacionProcesoContratacion2.cpe?idSoliCompra=--idZMzShK1NeQNxj5ycRnAidCsvPdw4FazZMhEt2lw," TargetMode="External"/><Relationship Id="rId53" Type="http://schemas.openxmlformats.org/officeDocument/2006/relationships/hyperlink" Target="https://www.compraspublicas.gob.ec/ProcesoContratacion/compras/PC/informacionProcesoContratacion2.cpe?idSoliCompra=4GoWTMY9dE1jjIBZz1CHUCUQ9Bpnh6YyCbEl6EOO_ic," TargetMode="External"/><Relationship Id="rId74" Type="http://schemas.openxmlformats.org/officeDocument/2006/relationships/hyperlink" Target="https://www.compraspublicas.gob.ec/ProcesoContratacion/compras/PC/informacionProcesoContratacion2.cpe?idSoliCompra=v3P8t6H81d8IHRg0jZ7rfLgjuO144lx8-D-ofeW9Mho," TargetMode="External"/><Relationship Id="rId128" Type="http://schemas.openxmlformats.org/officeDocument/2006/relationships/hyperlink" Target="https://www.compraspublicas.gob.ec/ProcesoContratacion/compras/PC/informacionProcesoContratacion2.cpe?idSoliCompra=ZcnDkT1_MpwokMMGP5onagZEMMaQJmAQQT4lP1mMEVM," TargetMode="External"/><Relationship Id="rId149" Type="http://schemas.openxmlformats.org/officeDocument/2006/relationships/comments" Target="../comments1.xml"/><Relationship Id="rId5" Type="http://schemas.openxmlformats.org/officeDocument/2006/relationships/hyperlink" Target="https://www.compraspublicas.gob.ec/ProcesoContratacion/compras/PC/informacionProcesoContratacion2.cpe?idSoliCompra=VUyIURO-IgwJyfMFvRgSMHpyPzCalyZkXQwB6RtEr0Y," TargetMode="External"/><Relationship Id="rId95" Type="http://schemas.openxmlformats.org/officeDocument/2006/relationships/hyperlink" Target="https://www.compraspublicas.gob.ec/ProcesoContratacion/compras/PC/informacionProcesoContratacion2.cpe?idSoliCompra=l9dcIIyaa3cqbGV649RpPAcc4azk4SMk95BLmH_88SA," TargetMode="External"/><Relationship Id="rId22" Type="http://schemas.openxmlformats.org/officeDocument/2006/relationships/hyperlink" Target="https://www.compraspublicas.gob.ec/ProcesoContratacion/compras/PC/informacionProcesoContratacion2.cpe?idSoliCompra=hqmV6mOcOmzmJQUJAt69K6CROnT0LdUd_nt9JWDxR3g," TargetMode="External"/><Relationship Id="rId27" Type="http://schemas.openxmlformats.org/officeDocument/2006/relationships/hyperlink" Target="https://www.compraspublicas.gob.ec/ProcesoContratacion/compras/PC/informacionProcesoContratacion2.cpe?idSoliCompra=MSjp68OkCchgatGKq5kS53G2O-YyN5HT899rTNihGFk," TargetMode="External"/><Relationship Id="rId43" Type="http://schemas.openxmlformats.org/officeDocument/2006/relationships/hyperlink" Target="https://www.compraspublicas.gob.ec/ProcesoContratacion/compras/PC/informacionProcesoContratacion2.cpe?idSoliCompra=fWDKAflGH3T-UY3HUCyZD5ouORcTuzcmdIBU78F6vPk," TargetMode="External"/><Relationship Id="rId48" Type="http://schemas.openxmlformats.org/officeDocument/2006/relationships/hyperlink" Target="https://www.compraspublicas.gob.ec/ProcesoContratacion/compras/PC/informacionProcesoContratacion2.cpe?idSoliCompra=4GOkcF1wF8u1Enr4SrCrRo82MYaq11vQaHJKvDAWVpQ," TargetMode="External"/><Relationship Id="rId64" Type="http://schemas.openxmlformats.org/officeDocument/2006/relationships/hyperlink" Target="https://www.compraspublicas.gob.ec/ProcesoContratacion/compras/PC/informacionProcesoContratacion2.cpe?idSoliCompra=2UfYg1nvK9iRWogUgVGc94J3uOzHcMTwRCvi_O9mvc8," TargetMode="External"/><Relationship Id="rId69" Type="http://schemas.openxmlformats.org/officeDocument/2006/relationships/hyperlink" Target="https://www.compraspublicas.gob.ec/ProcesoContratacion/compras/PC/informacionProcesoContratacion2.cpe?idSoliCompra=bRI1cXZWBarf7l54WnXpqhq_vo3Hpp_k1wK2N1cB9gk," TargetMode="External"/><Relationship Id="rId113" Type="http://schemas.openxmlformats.org/officeDocument/2006/relationships/hyperlink" Target="https://www.compraspublicas.gob.ec/ProcesoContratacion/compras/PC/informacionProcesoContratacion2.cpe?idSoliCompra=TCjpXA9FR_xFl61sGtebzKMG1XDsL3ZEY-sPFNv5ihU," TargetMode="External"/><Relationship Id="rId118" Type="http://schemas.openxmlformats.org/officeDocument/2006/relationships/hyperlink" Target="https://www.compraspublicas.gob.ec/ProcesoContratacion/compras/PC/informacionProcesoContratacion2.cpe?idSoliCompra=HODcgmud7jYD-t5E2GOnVDX-8Y6wejHdls3_zj488G8," TargetMode="External"/><Relationship Id="rId134" Type="http://schemas.openxmlformats.org/officeDocument/2006/relationships/hyperlink" Target="https://www.compraspublicas.gob.ec/ProcesoContratacion/compras/PC/informacionProcesoContratacion2.cpe?idSoliCompra=10xc51H-UQbGClGFWhWNSvPvjrOpC4sMcrntda5_Qqc," TargetMode="External"/><Relationship Id="rId139" Type="http://schemas.openxmlformats.org/officeDocument/2006/relationships/hyperlink" Target="https://www.compraspublicas.gob.ec/ProcesoContratacion/compras/PC/informacionProcesoContratacion2.cpe?idSoliCompra=gna0TMaT3O3jmi2TddwFRji2OlhcFb3HNaV0NJdFSQg," TargetMode="External"/><Relationship Id="rId80" Type="http://schemas.openxmlformats.org/officeDocument/2006/relationships/hyperlink" Target="https://www.compraspublicas.gob.ec/ProcesoContratacion/compras/PC/informacionProcesoContratacion2.cpe?idSoliCompra=FLiYK7wexc-JSZUi4hTp_mItFcBMokwI1W1Ezw0txes," TargetMode="External"/><Relationship Id="rId85" Type="http://schemas.openxmlformats.org/officeDocument/2006/relationships/hyperlink" Target="https://www.compraspublicas.gob.ec/ProcesoContratacion/compras/PC/informacionProcesoContratacion2.cpe?idSoliCompra=UYIwpYZl_XP4D4ezjEz1EqoNJEg0cgdJQ5sFdb2KeOY," TargetMode="External"/><Relationship Id="rId12" Type="http://schemas.openxmlformats.org/officeDocument/2006/relationships/hyperlink" Target="https://www.compraspublicas.gob.ec/ProcesoContratacion/compras/PC/informacionProcesoContratacion2.cpe?idSoliCompra=TGoKUXDaK5c9tVdSOHNZUySL8KF119f7qerjZmwU5eg," TargetMode="External"/><Relationship Id="rId17" Type="http://schemas.openxmlformats.org/officeDocument/2006/relationships/hyperlink" Target="https://www.compraspublicas.gob.ec/ProcesoContratacion/compras/PC/informacionProcesoContratacion2.cpe?idSoliCompra=kmFG2YsDG3EdOfsaO8u2fWJI9PfykONsSVcDe2jFg2g," TargetMode="External"/><Relationship Id="rId33" Type="http://schemas.openxmlformats.org/officeDocument/2006/relationships/hyperlink" Target="https://www.compraspublicas.gob.ec/ProcesoContratacion/compras/PC/informacionProcesoContratacion2.cpe?idSoliCompra=kzc7TUhVsDevUEdHa-rkqGmXSS_QYXTu_csPR89aoYo," TargetMode="External"/><Relationship Id="rId38" Type="http://schemas.openxmlformats.org/officeDocument/2006/relationships/hyperlink" Target="https://www.compraspublicas.gob.ec/ProcesoContratacion/compras/PC/informacionProcesoContratacion2.cpe?idSoliCompra=mlhQQygCO6LXo2DOA5sGVG6TIfTEyeV4QMYZgsYj-TA," TargetMode="External"/><Relationship Id="rId59" Type="http://schemas.openxmlformats.org/officeDocument/2006/relationships/hyperlink" Target="https://www.compraspublicas.gob.ec/ProcesoContratacion/compras/PC/informacionProcesoContratacion2.cpe?idSoliCompra=lPTzbFGq6squs227IzksTpXiETrRfDq9yyZ9131dhFw," TargetMode="External"/><Relationship Id="rId103" Type="http://schemas.openxmlformats.org/officeDocument/2006/relationships/hyperlink" Target="https://www.compraspublicas.gob.ec/ProcesoContratacion/compras/PC/informacionProcesoContratacion2.cpe?idSoliCompra=GOzdcCHHuiGekrpMoFR9MtbgcIL6bMAHuB_H0LMphiE," TargetMode="External"/><Relationship Id="rId108" Type="http://schemas.openxmlformats.org/officeDocument/2006/relationships/hyperlink" Target="https://www.compraspublicas.gob.ec/ProcesoContratacion/compras/PC/informacionProcesoContratacion2.cpe?idSoliCompra=XpgrmKhpwyQlG72nwoU7MqA5tS2WYLAOC4YH9Pq6YWY," TargetMode="External"/><Relationship Id="rId124" Type="http://schemas.openxmlformats.org/officeDocument/2006/relationships/hyperlink" Target="https://www.compraspublicas.gob.ec/ProcesoContratacion/compras/PC/informacionProcesoContratacion2.cpe?idSoliCompra=VhaZcISCcx04TQlsL2dw8DYdl5iD3RDxB8Ql1_VJw7w," TargetMode="External"/><Relationship Id="rId129" Type="http://schemas.openxmlformats.org/officeDocument/2006/relationships/hyperlink" Target="https://www.compraspublicas.gob.ec/ProcesoContratacion/compras/PC/informacionProcesoContratacion2.cpe?idSoliCompra=EL4_OkvRdxdB6ptjKsm3D4b6CND3Bri8_CWL3WLSoJY," TargetMode="External"/><Relationship Id="rId54" Type="http://schemas.openxmlformats.org/officeDocument/2006/relationships/hyperlink" Target="https://www.compraspublicas.gob.ec/ProcesoContratacion/compras/PC/informacionProcesoContratacion2.cpe?idSoliCompra=P0aZFDFtcGzGz-0HgUHJGLEOR4VaxPozy9PqNn8joSY," TargetMode="External"/><Relationship Id="rId70" Type="http://schemas.openxmlformats.org/officeDocument/2006/relationships/hyperlink" Target="https://www.compraspublicas.gob.ec/ProcesoContratacion/compras/PC/informacionProcesoContratacion2.cpe?idSoliCompra=JK5ceDojvOWxcDlm8tIP1AEZLwYWTpg2e1eZvOec5hE," TargetMode="External"/><Relationship Id="rId75" Type="http://schemas.openxmlformats.org/officeDocument/2006/relationships/hyperlink" Target="https://www.compraspublicas.gob.ec/ProcesoContratacion/compras/PC/informacionProcesoContratacion2.cpe?idSoliCompra=nggoO0e0PY8SP7gxN5sZAssP__hTde9Z7XijWiLMUpc," TargetMode="External"/><Relationship Id="rId91" Type="http://schemas.openxmlformats.org/officeDocument/2006/relationships/hyperlink" Target="https://www.compraspublicas.gob.ec/ProcesoContratacion/compras/PC/informacionProcesoContratacion2.cpe?idSoliCompra=PoAile992SfDZDbBq2KOAU0RseDRodr1eJGtft3PUCE," TargetMode="External"/><Relationship Id="rId96" Type="http://schemas.openxmlformats.org/officeDocument/2006/relationships/hyperlink" Target="https://www.compraspublicas.gob.ec/ProcesoContratacion/compras/PC/informacionProcesoContratacion2.cpe?idSoliCompra=-pME_EjhZWVPXXpH6NGW8E8xDtRy782WXIEITottKH8," TargetMode="External"/><Relationship Id="rId140" Type="http://schemas.openxmlformats.org/officeDocument/2006/relationships/hyperlink" Target="https://www.compraspublicas.gob.ec/ProcesoContratacion/compras/PC/informacionProcesoContratacion2.cpe?idSoliCompra=LNlJ5IGjsY_wCQ-oZ0a56Qvi4waQE9MEhW_NyiEWoZc," TargetMode="External"/><Relationship Id="rId145" Type="http://schemas.openxmlformats.org/officeDocument/2006/relationships/hyperlink" Target="https://www.compraspublicas.gob.ec/ProcesoContratacion/compras/PC/informacionProcesoContratacion2.cpe?idSoliCompra=S0ZLSloZqQtrAYOYwNGjmDUs7rXNL7Q0g7KhVn84LwU," TargetMode="External"/><Relationship Id="rId1" Type="http://schemas.openxmlformats.org/officeDocument/2006/relationships/hyperlink" Target="https://www.compraspublicas.gob.ec/ProcesoContratacion/compras/PC/informacionProcesoContratacion2.cpe?idSoliCompra=CXUVupnGmV-ikitPrsh9GxNhubTfOkMvbhBKEMk89xI," TargetMode="External"/><Relationship Id="rId6" Type="http://schemas.openxmlformats.org/officeDocument/2006/relationships/hyperlink" Target="https://www.compraspublicas.gob.ec/ProcesoContratacion/compras/PC/informacionProcesoContratacion2.cpe?idSoliCompra=BMxNh9GvstZnKGr9-skAUHxgxsslq6ferPJRJSo2hzY," TargetMode="External"/><Relationship Id="rId23" Type="http://schemas.openxmlformats.org/officeDocument/2006/relationships/hyperlink" Target="https://www.compraspublicas.gob.ec/ProcesoContratacion/compras/SC/sci.cpe?idSoliCompra=Galy7dE3TgaahRCbEDkgm9e1gxDP7Y_aIWlxDmGR0V4," TargetMode="External"/><Relationship Id="rId28" Type="http://schemas.openxmlformats.org/officeDocument/2006/relationships/hyperlink" Target="https://www.compraspublicas.gob.ec/ProcesoContratacion/compras/PC/informacionProcesoContratacion2.cpe?idSoliCompra=gbarIw9kSUBtN_xxVJXHPY-ppMMlV0j-DABosZGlIxI," TargetMode="External"/><Relationship Id="rId49" Type="http://schemas.openxmlformats.org/officeDocument/2006/relationships/hyperlink" Target="https://www.compraspublicas.gob.ec/ProcesoContratacion/compras/PC/informacionProcesoContratacion2.cpe?idSoliCompra=If5f2snBhP0pcaBLXX8PoyWADRjBDwszy4Lfx6OBCrw," TargetMode="External"/><Relationship Id="rId114" Type="http://schemas.openxmlformats.org/officeDocument/2006/relationships/hyperlink" Target="https://www.compraspublicas.gob.ec/ProcesoContratacion/compras/SC/sci.cpe?idSoliCompra=Qtgz_ZOUMosc-sjeTQfWZL_PyOSMmIIoDaWnqeEN17g," TargetMode="External"/><Relationship Id="rId119" Type="http://schemas.openxmlformats.org/officeDocument/2006/relationships/hyperlink" Target="https://www.compraspublicas.gob.ec/ProcesoContratacion/compras/PC/informacionProcesoContratacion2.cpe?idSoliCompra=--KXiOmGvUbf4fA8JjKkA8lRmCHsLd6QHCtEqnr355o," TargetMode="External"/><Relationship Id="rId44" Type="http://schemas.openxmlformats.org/officeDocument/2006/relationships/hyperlink" Target="https://www.compraspublicas.gob.ec/ProcesoContratacion/compras/PC/informacionProcesoContratacion2.cpe?idSoliCompra=dwUFZymuPLadUfzXrnrom2SSGQ85uPDPwBoqBSXK2P0," TargetMode="External"/><Relationship Id="rId60" Type="http://schemas.openxmlformats.org/officeDocument/2006/relationships/hyperlink" Target="https://www.compraspublicas.gob.ec/ProcesoContratacion/compras/PC/informacionProcesoContratacion2.cpe?idSoliCompra=aD3iHEYQykvt-WXmFJ8Fq_iZQNJjA1oej9fGLXBg9tQ," TargetMode="External"/><Relationship Id="rId65" Type="http://schemas.openxmlformats.org/officeDocument/2006/relationships/hyperlink" Target="https://www.compraspublicas.gob.ec/ProcesoContratacion/compras/PC/informacionProcesoContratacion2.cpe?idSoliCompra=yrrY0nPTbNv6O9Jq9_ggGgdzUEJRwqoIA9hu3dxWZ54," TargetMode="External"/><Relationship Id="rId81" Type="http://schemas.openxmlformats.org/officeDocument/2006/relationships/hyperlink" Target="https://www.compraspublicas.gob.ec/ProcesoContratacion/compras/PC/informacionProcesoContratacion2.cpe?idSoliCompra=--Kn_FDKXRMudyVI465cb5KiXDjF15V24Sm_F6jvo9s," TargetMode="External"/><Relationship Id="rId86" Type="http://schemas.openxmlformats.org/officeDocument/2006/relationships/hyperlink" Target="https://www.compraspublicas.gob.ec/ProcesoContratacion/compras/PC/informacionProcesoContratacion2.cpe?idSoliCompra=qFJklkB_2mQsA0bVdJguKQQZTM-9g-gIkZQC3HWXntM," TargetMode="External"/><Relationship Id="rId130" Type="http://schemas.openxmlformats.org/officeDocument/2006/relationships/hyperlink" Target="https://www.compraspublicas.gob.ec/ProcesoContratacion/compras/PC/informacionProcesoContratacion2.cpe?idSoliCompra=Qc-2XHIA64JYO9Ls1fT4iBDEyi1hIdwWbhLo5qTIyFw," TargetMode="External"/><Relationship Id="rId135" Type="http://schemas.openxmlformats.org/officeDocument/2006/relationships/hyperlink" Target="https://www.compraspublicas.gob.ec/ProcesoContratacion/compras/PC/informacionProcesoContratacion2.cpe?idSoliCompra=4eQKlyYwsb0nGGjN8XFYoWpa8hjnHE5Dn1V8oIRClwQ," TargetMode="External"/><Relationship Id="rId13" Type="http://schemas.openxmlformats.org/officeDocument/2006/relationships/hyperlink" Target="https://www.compraspublicas.gob.ec/ProcesoContratacion/compras/PC/informacionProcesoContratacion2.cpe?idSoliCompra=zDGE585FXMAl4FvI4gcpyo7ky8XSEadG0Zh4e7jkpzM," TargetMode="External"/><Relationship Id="rId18" Type="http://schemas.openxmlformats.org/officeDocument/2006/relationships/hyperlink" Target="https://www.compraspublicas.gob.ec/ProcesoContratacion/compras/PC/informacionProcesoContratacion2.cpe?idSoliCompra=JXx3phX4O4IJlMfYTFZFS5zQ4ipsQeqibN1RohX4p7o," TargetMode="External"/><Relationship Id="rId39" Type="http://schemas.openxmlformats.org/officeDocument/2006/relationships/hyperlink" Target="https://www.compraspublicas.gob.ec/ProcesoContratacion/compras/PC/informacionProcesoContratacion2.cpe?idSoliCompra=tBphsxAgPul5IRQXLEHv2tJvOXZv-ODX7Ki_F55rwLI," TargetMode="External"/><Relationship Id="rId109" Type="http://schemas.openxmlformats.org/officeDocument/2006/relationships/hyperlink" Target="https://www.compraspublicas.gob.ec/ProcesoContratacion/compras/PC/informacionProcesoContratacion2.cpe?idSoliCompra=hqzEwU0rlbSCLO9dBtOfXgFboLrM8aSlokDoCzXTtKI," TargetMode="External"/><Relationship Id="rId34" Type="http://schemas.openxmlformats.org/officeDocument/2006/relationships/hyperlink" Target="https://www.compraspublicas.gob.ec/ProcesoContratacion/compras/PC/informacionProcesoContratacion2.cpe?idSoliCompra=hARvq284byLvGnC3aSBwIm1Y5n5hPz3Ys7qXb38W7sE," TargetMode="External"/><Relationship Id="rId50" Type="http://schemas.openxmlformats.org/officeDocument/2006/relationships/hyperlink" Target="https://www.compraspublicas.gob.ec/ProcesoContratacion/compras/SC/sci.cpe?idSoliCompra=c-i3zwhUK5f2un8qBGyvC7ol-WrVysgscKyGkUHgGF4," TargetMode="External"/><Relationship Id="rId55" Type="http://schemas.openxmlformats.org/officeDocument/2006/relationships/hyperlink" Target="https://www.compraspublicas.gob.ec/ProcesoContratacion/compras/PC/informacionProcesoContratacion2.cpe?idSoliCompra=K7XWGLEpbQo2gSl5dbIJNM6GCWUCcBEtbuqFLbZjGJY," TargetMode="External"/><Relationship Id="rId76" Type="http://schemas.openxmlformats.org/officeDocument/2006/relationships/hyperlink" Target="https://www.compraspublicas.gob.ec/ProcesoContratacion/compras/PC/informacionProcesoContratacion2.cpe?idSoliCompra=PfSS5akirBqf9HQH9sGGw1OSTBByN1CF_mBhqhA1u7g," TargetMode="External"/><Relationship Id="rId97" Type="http://schemas.openxmlformats.org/officeDocument/2006/relationships/hyperlink" Target="https://www.compraspublicas.gob.ec/ProcesoContratacion/compras/PC/informacionProcesoContratacion2.cpe?idSoliCompra=-0QDi9gJJgO4MA69-Jdqm3JevenD0-u5_6TlRdsksN4," TargetMode="External"/><Relationship Id="rId104" Type="http://schemas.openxmlformats.org/officeDocument/2006/relationships/hyperlink" Target="https://www.compraspublicas.gob.ec/ProcesoContratacion/compras/SC/sci.cpe?idSoliCompra=PZQ6CrGT5Fsodd6dzuyrR3qH2mV-8N0C86yALoetFEw," TargetMode="External"/><Relationship Id="rId120" Type="http://schemas.openxmlformats.org/officeDocument/2006/relationships/hyperlink" Target="https://www.compraspublicas.gob.ec/ProcesoContratacion/compras/PC/informacionProcesoContratacion2.cpe?idSoliCompra=vbnbuf5_4cc_6m6BYLO0DPNKvneaVjwTA9FyiDLRfrE," TargetMode="External"/><Relationship Id="rId125" Type="http://schemas.openxmlformats.org/officeDocument/2006/relationships/hyperlink" Target="https://www.compraspublicas.gob.ec/ProcesoContratacion/compras/PC/informacionProcesoContratacion2.cpe?idSoliCompra=gJUHWgf8xca_6Lf8Zp-CqRO-Jfr6rSV3Al60kPdh4jE," TargetMode="External"/><Relationship Id="rId141" Type="http://schemas.openxmlformats.org/officeDocument/2006/relationships/hyperlink" Target="https://www.compraspublicas.gob.ec/ProcesoContratacion/compras/PC/informacionProcesoContratacion2.cpe?idSoliCompra=-usSEWibWxzTxz7l4qK3T9ZsXv96klNduQUBgkaKF80," TargetMode="External"/><Relationship Id="rId146" Type="http://schemas.openxmlformats.org/officeDocument/2006/relationships/hyperlink" Target="https://www.compraspublicas.gob.ec/ProcesoContratacion/compras/PC/informacionProcesoContratacion2.cpe?idSoliCompra=nfqzBEj79qw1u7tFcwQL-bNtJy7b4MEUewt8zSMyfUM," TargetMode="External"/><Relationship Id="rId7" Type="http://schemas.openxmlformats.org/officeDocument/2006/relationships/hyperlink" Target="https://www.compraspublicas.gob.ec/ProcesoContratacion/compras/PC/informacionProcesoContratacion2.cpe?idSoliCompra=ss-cQ8rP9EP8RZAl3Gi53oR2EUcx6JFheOyi_aDuhGM," TargetMode="External"/><Relationship Id="rId71" Type="http://schemas.openxmlformats.org/officeDocument/2006/relationships/hyperlink" Target="https://www.compraspublicas.gob.ec/ProcesoContratacion/compras/SC/sci.cpe?idSoliCompra=AJlYIpbEvFfaYzAAfmUlD3R0sjBAZi484LXQcvpPwnc," TargetMode="External"/><Relationship Id="rId92" Type="http://schemas.openxmlformats.org/officeDocument/2006/relationships/hyperlink" Target="https://www.compraspublicas.gob.ec/ProcesoContratacion/compras/PC/informacionProcesoContratacion2.cpe?idSoliCompra=884K8mS99YW5juRCQQwzj0lyY1PbDooTZPy0Rf5N1zI," TargetMode="External"/><Relationship Id="rId2" Type="http://schemas.openxmlformats.org/officeDocument/2006/relationships/hyperlink" Target="https://www.compraspublicas.gob.ec/ProcesoContratacion/compras/PC/informacionProcesoContratacion2.cpe?idSoliCompra=IppDB88wi1Uqr-33WPtbPIzHFmRSfDSbkUnQP40s9J8," TargetMode="External"/><Relationship Id="rId29" Type="http://schemas.openxmlformats.org/officeDocument/2006/relationships/hyperlink" Target="https://www.compraspublicas.gob.ec/ProcesoContratacion/compras/PC/informacionProcesoContratacion2.cpe?idSoliCompra=8Fy_LPQwL8sZ7t-I-qU2i-ccXgV_qAzCGueqWIP9WyI," TargetMode="External"/><Relationship Id="rId24" Type="http://schemas.openxmlformats.org/officeDocument/2006/relationships/hyperlink" Target="https://www.compraspublicas.gob.ec/ProcesoContratacion/compras/PC/informacionProcesoContratacion2.cpe?idSoliCompra=l-K1AI7HebX2ZlCcsKc7neJyVtc9-jauseXw6a3NpXA," TargetMode="External"/><Relationship Id="rId40" Type="http://schemas.openxmlformats.org/officeDocument/2006/relationships/hyperlink" Target="https://www.compraspublicas.gob.ec/ProcesoContratacion/compras/PC/informacionProcesoContratacion2.cpe?idSoliCompra=-OqszzaSboGCTUOY0iGDu0OokFJHaya6F7rfr7o9FvQ," TargetMode="External"/><Relationship Id="rId45" Type="http://schemas.openxmlformats.org/officeDocument/2006/relationships/hyperlink" Target="https://www.compraspublicas.gob.ec/ProcesoContratacion/compras/PC/informacionProcesoContratacion2.cpe?idSoliCompra=eFJA_T2HbsJMPhQTCaz5SWwxjavLSilf4SQsFHPzHS8," TargetMode="External"/><Relationship Id="rId66" Type="http://schemas.openxmlformats.org/officeDocument/2006/relationships/hyperlink" Target="https://www.compraspublicas.gob.ec/ProcesoContratacion/compras/PC/informacionProcesoContratacion2.cpe?idSoliCompra=vUELR3ZPbqLbmTX-nfksMuaocaDOowTDhnk79vLqiYQ," TargetMode="External"/><Relationship Id="rId87" Type="http://schemas.openxmlformats.org/officeDocument/2006/relationships/hyperlink" Target="https://www.compraspublicas.gob.ec/ProcesoContratacion/compras/SC/sci.cpe?idSoliCompra=yDyln-kjbkSbCEYnDzaeW9aIF7tCtMVERQmM0j0PamQ," TargetMode="External"/><Relationship Id="rId110" Type="http://schemas.openxmlformats.org/officeDocument/2006/relationships/hyperlink" Target="https://www.compraspublicas.gob.ec/ProcesoContratacion/compras/PC/informacionProcesoContratacion2.cpe?idSoliCompra=N4TV2HO7tZWjwPXz0oU_3HwRtQCW787m_3lQA3CNk4A," TargetMode="External"/><Relationship Id="rId115" Type="http://schemas.openxmlformats.org/officeDocument/2006/relationships/hyperlink" Target="https://www.compraspublicas.gob.ec/ProcesoContratacion/compras/PC/informacionProcesoContratacion2.cpe?idSoliCompra=6gM6HF0Lj_za5ZYv6bAPjx-ps6ty_OluxOmXvKZ5SZI," TargetMode="External"/><Relationship Id="rId131" Type="http://schemas.openxmlformats.org/officeDocument/2006/relationships/hyperlink" Target="https://www.compraspublicas.gob.ec/ProcesoContratacion/compras/PC/informacionProcesoContratacion2.cpe?idSoliCompra=h6sA2jqBZjR1UAFdF57OAG9ZcMvv6vE7HLKP7KJFPcw," TargetMode="External"/><Relationship Id="rId136" Type="http://schemas.openxmlformats.org/officeDocument/2006/relationships/hyperlink" Target="https://www.compraspublicas.gob.ec/ProcesoContratacion/compras/PC/informacionProcesoContratacion2.cpe?idSoliCompra=5FvwQ4Kk5ZlT5UhMHj35mC2VQOOrvMh5w5bdu3y0Rxo," TargetMode="External"/><Relationship Id="rId61" Type="http://schemas.openxmlformats.org/officeDocument/2006/relationships/hyperlink" Target="https://www.compraspublicas.gob.ec/ProcesoContratacion/compras/PC/informacionProcesoContratacion2.cpe?idSoliCompra=XIrqr-FN1i1K8tfUSIQKaF-6Z6bmyeGn2mFIMfxQJ9E," TargetMode="External"/><Relationship Id="rId82" Type="http://schemas.openxmlformats.org/officeDocument/2006/relationships/hyperlink" Target="https://www.compraspublicas.gob.ec/ProcesoContratacion/compras/PC/informacionProcesoContratacion2.cpe?idSoliCompra=Zi_S9RsaXe5dPymMtN_2kgUP1c2M1omUDgtz355ckEI," TargetMode="External"/><Relationship Id="rId19" Type="http://schemas.openxmlformats.org/officeDocument/2006/relationships/hyperlink" Target="https://www.compraspublicas.gob.ec/ProcesoContratacion/compras/PC/informacionProcesoContratacion2.cpe?idSoliCompra=sYg_dsgMhteTawKmfxHh-LhZnDQerOnSlFbnGqARzH0," TargetMode="External"/><Relationship Id="rId14" Type="http://schemas.openxmlformats.org/officeDocument/2006/relationships/hyperlink" Target="https://www.compraspublicas.gob.ec/ProcesoContratacion/compras/SC/sci.cpe?idSoliCompra=tv42n6ID64BBGo4c7quNElIH4-bMb3FM5K1Q7iyqT50," TargetMode="External"/><Relationship Id="rId30" Type="http://schemas.openxmlformats.org/officeDocument/2006/relationships/hyperlink" Target="https://www.compraspublicas.gob.ec/ProcesoContratacion/compras/PC/informacionProcesoContratacion2.cpe?idSoliCompra=lWCOCo6r3thKbM4NCCkZ5N1dcRr1oXvpgm6bCFlIxAI," TargetMode="External"/><Relationship Id="rId35" Type="http://schemas.openxmlformats.org/officeDocument/2006/relationships/hyperlink" Target="https://www.compraspublicas.gob.ec/ProcesoContratacion/compras/PC/informacionProcesoContratacion2.cpe?idSoliCompra=cUgCB-9tDbqMmcG2rR5O5dcQoMTFgSEENSCT7zTzBXg," TargetMode="External"/><Relationship Id="rId56" Type="http://schemas.openxmlformats.org/officeDocument/2006/relationships/hyperlink" Target="https://www.compraspublicas.gob.ec/ProcesoContratacion/compras/PC/informacionProcesoContratacion2.cpe?idSoliCompra=DqXA2Um_myVVHBCOVt3ONLUR_jZiAt-_aaGQ2Sc1pR0," TargetMode="External"/><Relationship Id="rId77" Type="http://schemas.openxmlformats.org/officeDocument/2006/relationships/hyperlink" Target="https://www.compraspublicas.gob.ec/ProcesoContratacion/compras/SC/sci.cpe?idSoliCompra=5OiwLBa4MIL-KYIsy6UGib3PLWU8uJb7im51fhBsQuw," TargetMode="External"/><Relationship Id="rId100" Type="http://schemas.openxmlformats.org/officeDocument/2006/relationships/hyperlink" Target="https://www.compraspublicas.gob.ec/ProcesoContratacion/compras/PC/informacionProcesoContratacion2.cpe?idSoliCompra=TulClpW6yrsvQ-MwlhVX7Pg04eimqvsid9Y0L75sPn8," TargetMode="External"/><Relationship Id="rId105" Type="http://schemas.openxmlformats.org/officeDocument/2006/relationships/hyperlink" Target="https://www.compraspublicas.gob.ec/ProcesoContratacion/compras/PC/informacionProcesoContratacion2.cpe?idSoliCompra=k7XUS5znbSvGpXCkBt3puNp8K60UvAvPcIKZDCN9wTU," TargetMode="External"/><Relationship Id="rId126" Type="http://schemas.openxmlformats.org/officeDocument/2006/relationships/hyperlink" Target="https://www.compraspublicas.gob.ec/ProcesoContratacion/compras/PC/informacionProcesoContratacion2.cpe?idSoliCompra=UaSgpjjmEMNdr6ZhO0kF08oiIloRZrveTGMyX_yWCuQ," TargetMode="External"/><Relationship Id="rId147" Type="http://schemas.openxmlformats.org/officeDocument/2006/relationships/printerSettings" Target="../printerSettings/printerSettings3.bin"/><Relationship Id="rId8" Type="http://schemas.openxmlformats.org/officeDocument/2006/relationships/hyperlink" Target="https://www.compraspublicas.gob.ec/ProcesoContratacion/compras/PC/informacionProcesoContratacion2.cpe?idSoliCompra=reeidzJ-U2dxcXRIwr7dBMrszVYvSJZka9GvMgnKehI," TargetMode="External"/><Relationship Id="rId51" Type="http://schemas.openxmlformats.org/officeDocument/2006/relationships/hyperlink" Target="https://www.compraspublicas.gob.ec/ProcesoContratacion/compras/PC/informacionProcesoContratacion2.cpe?idSoliCompra=asbTX6TT_skKPUQLE9Fpx5r85OqvXumjjAGRahl7kfY," TargetMode="External"/><Relationship Id="rId72" Type="http://schemas.openxmlformats.org/officeDocument/2006/relationships/hyperlink" Target="https://www.compraspublicas.gob.ec/ProcesoContratacion/compras/PC/informacionProcesoContratacion2.cpe?idSoliCompra=0ADhwfO4x9KOeUcRelZbIW0do-nqwR5qhiqQNx4fehs," TargetMode="External"/><Relationship Id="rId93" Type="http://schemas.openxmlformats.org/officeDocument/2006/relationships/hyperlink" Target="https://www.compraspublicas.gob.ec/ProcesoContratacion/compras/PC/informacionProcesoContratacion2.cpe?idSoliCompra=ULQCwHaBnt-QIAZpW6AymYvrI48W-ipbu5EUwi1KnDk," TargetMode="External"/><Relationship Id="rId98" Type="http://schemas.openxmlformats.org/officeDocument/2006/relationships/hyperlink" Target="https://www.compraspublicas.gob.ec/ProcesoContratacion/compras/PC/informacionProcesoContratacion2.cpe?idSoliCompra=rgPrE4GoWlnuIuRqGwXreLb-bqFYV_VlGzWBOpXelFA," TargetMode="External"/><Relationship Id="rId121" Type="http://schemas.openxmlformats.org/officeDocument/2006/relationships/hyperlink" Target="https://www.compraspublicas.gob.ec/ProcesoContratacion/compras/PC/informacionProcesoContratacion2.cpe?idSoliCompra=vmi-XppuRTd8imOtKxHTS7DvzeNffw6sMf8LsDkykxo," TargetMode="External"/><Relationship Id="rId142" Type="http://schemas.openxmlformats.org/officeDocument/2006/relationships/hyperlink" Target="https://www.compraspublicas.gob.ec/ProcesoContratacion/compras/PC/informacionProcesoContratacion2.cpe?idSoliCompra=vJTPvCu5HhDeEPGNbHZ3kgAM46Qk8f-s5oqJOyTHrQ0," TargetMode="External"/><Relationship Id="rId3" Type="http://schemas.openxmlformats.org/officeDocument/2006/relationships/hyperlink" Target="https://www.compraspublicas.gob.ec/ProcesoContratacion/compras/SC/sci.cpe?idSoliCompra=zcP-kLqJe_7vs2SPEdFjwBE1zrBmZJMO9Jnre-vluPM," TargetMode="External"/><Relationship Id="rId25" Type="http://schemas.openxmlformats.org/officeDocument/2006/relationships/hyperlink" Target="https://www.compraspublicas.gob.ec/ProcesoContratacion/compras/SC/sci.cpe?idSoliCompra=ZEXh-UOe9tS9N3fCa09fWEaVsGQTaDCHwD0xc_eQrbg," TargetMode="External"/><Relationship Id="rId46" Type="http://schemas.openxmlformats.org/officeDocument/2006/relationships/hyperlink" Target="https://www.compraspublicas.gob.ec/ProcesoContratacion/compras/PC/informacionProcesoContratacion2.cpe?idSoliCompra=BTNYkboFULvHyE0EfA7vaARrp6aENPy8frwH-vLoUmA," TargetMode="External"/><Relationship Id="rId67" Type="http://schemas.openxmlformats.org/officeDocument/2006/relationships/hyperlink" Target="https://www.compraspublicas.gob.ec/ProcesoContratacion/compras/PC/informacionProcesoContratacion2.cpe?idSoliCompra=n18yb0WY3pf4vdiRWThOVhS9yXsgFePAkjspHEnUZaA," TargetMode="External"/><Relationship Id="rId116" Type="http://schemas.openxmlformats.org/officeDocument/2006/relationships/hyperlink" Target="https://www.compraspublicas.gob.ec/ProcesoContratacion/compras/PC/informacionProcesoContratacion2.cpe?idSoliCompra=D45FfyV9D03Gu6xWtvrcL3oQ4ZgOteg3MlhUC1DsUp4," TargetMode="External"/><Relationship Id="rId137" Type="http://schemas.openxmlformats.org/officeDocument/2006/relationships/hyperlink" Target="https://www.compraspublicas.gob.ec/ProcesoContratacion/compras/PC/informacionProcesoContratacion2.cpe?idSoliCompra=FB0AezsbcKLzQO82GNbMSmrLDoDptjBP7_IH9EJfBOY," TargetMode="External"/><Relationship Id="rId20" Type="http://schemas.openxmlformats.org/officeDocument/2006/relationships/hyperlink" Target="https://www.compraspublicas.gob.ec/ProcesoContratacion/compras/PC/informacionProcesoContratacion2.cpe?idSoliCompra=7h-D9H89-hvWHDVer3Z2ryxE1I7BrauflVa4GKorz5M," TargetMode="External"/><Relationship Id="rId41" Type="http://schemas.openxmlformats.org/officeDocument/2006/relationships/hyperlink" Target="https://www.compraspublicas.gob.ec/ProcesoContratacion/compras/SC/sci.cpe?idSoliCompra=cAY9sxH65_YBicckGS0_bdSoooGqvdoXQf9LNlOSwaM," TargetMode="External"/><Relationship Id="rId62" Type="http://schemas.openxmlformats.org/officeDocument/2006/relationships/hyperlink" Target="https://www.compraspublicas.gob.ec/ProcesoContratacion/compras/PC/informacionProcesoContratacion2.cpe?idSoliCompra=I7piuVIk1jbdxWqR13Ar8PSNFyJ0UylSFPgScib9qUs," TargetMode="External"/><Relationship Id="rId83" Type="http://schemas.openxmlformats.org/officeDocument/2006/relationships/hyperlink" Target="https://www.compraspublicas.gob.ec/ProcesoContratacion/compras/PC/informacionProcesoContratacion2.cpe?idSoliCompra=rRpLGx1ociAYp8IEeUreMD7Gv80H8gJ24rdJgRCspFs," TargetMode="External"/><Relationship Id="rId88" Type="http://schemas.openxmlformats.org/officeDocument/2006/relationships/hyperlink" Target="https://www.compraspublicas.gob.ec/ProcesoContratacion/compras/PC/informacionProcesoContratacion2.cpe?idSoliCompra=x05VTlNeZfNw-_1vSZueXG6N_A4lieRTXLTAGyH4VyU," TargetMode="External"/><Relationship Id="rId111" Type="http://schemas.openxmlformats.org/officeDocument/2006/relationships/hyperlink" Target="https://www.compraspublicas.gob.ec/ProcesoContratacion/compras/PC/informacionProcesoContratacion2.cpe?idSoliCompra=XZtOrrtNrgnWr8I5T6zTY2v30Q0eNsG6mJgIJcNK9-8," TargetMode="External"/><Relationship Id="rId132" Type="http://schemas.openxmlformats.org/officeDocument/2006/relationships/hyperlink" Target="https://www.compraspublicas.gob.ec/ProcesoContratacion/compras/SC/sci.cpe?idSoliCompra=WJlHY5DQudpNb7iIIBg-QloyJnYqfisHoS-vzq9uUhQ," TargetMode="External"/><Relationship Id="rId15" Type="http://schemas.openxmlformats.org/officeDocument/2006/relationships/hyperlink" Target="https://www.compraspublicas.gob.ec/ProcesoContratacion/compras/PC/informacionProcesoContratacion2.cpe?idSoliCompra=J1x0UXfWvUYqa6jDiaa7SELZd-zjYs4u0J7QFSk2e9E," TargetMode="External"/><Relationship Id="rId36" Type="http://schemas.openxmlformats.org/officeDocument/2006/relationships/hyperlink" Target="https://www.compraspublicas.gob.ec/ProcesoContratacion/compras/PC/informacionProcesoContratacion2.cpe?idSoliCompra=Xbg1jvmFjXrFiXjUi6kX14OXPTz25A94puZ2rfQuNZQ," TargetMode="External"/><Relationship Id="rId57" Type="http://schemas.openxmlformats.org/officeDocument/2006/relationships/hyperlink" Target="https://www.compraspublicas.gob.ec/ProcesoContratacion/compras/PC/informacionProcesoContratacion2.cpe?idSoliCompra=sS_SNik4WDNxA8u-TVemHMvUJawSe47w-Cwz290ZlR0," TargetMode="External"/><Relationship Id="rId106" Type="http://schemas.openxmlformats.org/officeDocument/2006/relationships/hyperlink" Target="https://www.compraspublicas.gob.ec/ProcesoContratacion/compras/PC/informacionProcesoContratacion2.cpe?idSoliCompra=zhLc_Qw-Awo1Qi9Tiw7SsAn6ozp9I2CErujEWmeezmg," TargetMode="External"/><Relationship Id="rId127" Type="http://schemas.openxmlformats.org/officeDocument/2006/relationships/hyperlink" Target="https://www.compraspublicas.gob.ec/ProcesoContratacion/compras/PC/informacionProcesoContratacion2.cpe?idSoliCompra=dVR2DZk0qbJx3NQKGPNnG2DHww38pAaLQ76uYqWCDq4," TargetMode="External"/><Relationship Id="rId10" Type="http://schemas.openxmlformats.org/officeDocument/2006/relationships/hyperlink" Target="https://www.compraspublicas.gob.ec/ProcesoContratacion/compras/PC/informacionProcesoContratacion2.cpe?idSoliCompra=vS1CCNZLlliNWKyJEHe56jc0L3AfNhmlC4Xgyb1k31c," TargetMode="External"/><Relationship Id="rId31" Type="http://schemas.openxmlformats.org/officeDocument/2006/relationships/hyperlink" Target="https://www.compraspublicas.gob.ec/ProcesoContratacion/compras/PC/informacionProcesoContratacion2.cpe?idSoliCompra=Pc4GV9yol7CyZ4DmTpAHxGmpFgfsBg_4FVK99TW6igM," TargetMode="External"/><Relationship Id="rId52" Type="http://schemas.openxmlformats.org/officeDocument/2006/relationships/hyperlink" Target="https://www.compraspublicas.gob.ec/ProcesoContratacion/compras/PC/informacionProcesoContratacion2.cpe?idSoliCompra=_F1A6MUC9SUx_MVv3Abv-zkqprOM4Zx7O_-shpSgeSo," TargetMode="External"/><Relationship Id="rId73" Type="http://schemas.openxmlformats.org/officeDocument/2006/relationships/hyperlink" Target="https://www.compraspublicas.gob.ec/ProcesoContratacion/compras/PC/informacionProcesoContratacion2.cpe?idSoliCompra=I5QgAZSFqHHu47OWCFBlB00TNOjqYfRlUlB3QQ_9lmE," TargetMode="External"/><Relationship Id="rId78" Type="http://schemas.openxmlformats.org/officeDocument/2006/relationships/hyperlink" Target="https://www.compraspublicas.gob.ec/ProcesoContratacion/compras/PC/informacionProcesoContratacion2.cpe?idSoliCompra=QLlOtlF3-B_aR5yxp1yBD4nvPoK8TMrEhxAzVivBZaQ," TargetMode="External"/><Relationship Id="rId94" Type="http://schemas.openxmlformats.org/officeDocument/2006/relationships/hyperlink" Target="https://www.compraspublicas.gob.ec/ProcesoContratacion/compras/PC/informacionProcesoContratacion2.cpe?idSoliCompra=1XiaQOKZ3eaOS_V2HsNUdvzjNlaxMeFoJ75nN3dcE3E," TargetMode="External"/><Relationship Id="rId99" Type="http://schemas.openxmlformats.org/officeDocument/2006/relationships/hyperlink" Target="https://www.compraspublicas.gob.ec/ProcesoContratacion/compras/PC/informacionProcesoContratacion2.cpe?idSoliCompra=_q5Sp_5Ou-vMEpFyI26Mt5cnyaJV9_rxMJ1AzGgXiq0," TargetMode="External"/><Relationship Id="rId101" Type="http://schemas.openxmlformats.org/officeDocument/2006/relationships/hyperlink" Target="https://www.compraspublicas.gob.ec/ProcesoContratacion/compras/PC/informacionProcesoContratacion2.cpe?idSoliCompra=cZYt3xG815cDf3K9LIEeLDEmgFCqTBtE4wuyNqswJF0," TargetMode="External"/><Relationship Id="rId122" Type="http://schemas.openxmlformats.org/officeDocument/2006/relationships/hyperlink" Target="https://www.compraspublicas.gob.ec/ProcesoContratacion/compras/PC/informacionProcesoContratacion2.cpe?idSoliCompra=ytZUfwhwzd3CDrK3b6Wc-nmoSQzoal9lKBAfR9t4R8U," TargetMode="External"/><Relationship Id="rId143" Type="http://schemas.openxmlformats.org/officeDocument/2006/relationships/hyperlink" Target="https://www.compraspublicas.gob.ec/ProcesoContratacion/compras/PC/informacionProcesoContratacion2.cpe?idSoliCompra=7ZktWij1wdMsBzlWy65zpJc7lEV3lO4DWJemotqwga4," TargetMode="External"/><Relationship Id="rId148" Type="http://schemas.openxmlformats.org/officeDocument/2006/relationships/vmlDrawing" Target="../drawings/vmlDrawing1.vml"/><Relationship Id="rId4" Type="http://schemas.openxmlformats.org/officeDocument/2006/relationships/hyperlink" Target="https://www.compraspublicas.gob.ec/ProcesoContratacion/compras/PC/informacionProcesoContratacion2.cpe?idSoliCompra=s4xw8WnUrmIFftauVCa_W1oQFY2C7JBs2pbgN9TRT40," TargetMode="External"/><Relationship Id="rId9" Type="http://schemas.openxmlformats.org/officeDocument/2006/relationships/hyperlink" Target="https://www.compraspublicas.gob.ec/ProcesoContratacion/compras/PC/informacionProcesoContratacion2.cpe?idSoliCompra=C-uLBoUryfBu5qLTP_Ohgom5Rwg5VUHu53zF22ZBdgc," TargetMode="External"/><Relationship Id="rId26" Type="http://schemas.openxmlformats.org/officeDocument/2006/relationships/hyperlink" Target="https://www.compraspublicas.gob.ec/ProcesoContratacion/compras/PC/informacionProcesoContratacion2.cpe?idSoliCompra=LcGI1Ouhh0vlQFb3z00pRP9yxqMfYBHDkfKzPCSxqVs," TargetMode="External"/><Relationship Id="rId47" Type="http://schemas.openxmlformats.org/officeDocument/2006/relationships/hyperlink" Target="https://www.compraspublicas.gob.ec/ProcesoContratacion/compras/PC/informacionProcesoContratacion2.cpe?idSoliCompra=NJxVypgSXd0UIDu5nqv-cC-RS089Pj9cBGVhe3UjAMg," TargetMode="External"/><Relationship Id="rId68" Type="http://schemas.openxmlformats.org/officeDocument/2006/relationships/hyperlink" Target="https://www.compraspublicas.gob.ec/ProcesoContratacion/compras/PC/informacionProcesoContratacion2.cpe?idSoliCompra=czm6U3FMrEt9ZVceZPue--ENPdny3O6bvtWgRfxsRYc," TargetMode="External"/><Relationship Id="rId89" Type="http://schemas.openxmlformats.org/officeDocument/2006/relationships/hyperlink" Target="https://www.compraspublicas.gob.ec/ProcesoContratacion/compras/PC/informacionProcesoContratacion2.cpe?idSoliCompra=R2Tv6hoN8lqfhgdg-mL-PKxw3BBF3c7ga-ZON_a5Raw," TargetMode="External"/><Relationship Id="rId112" Type="http://schemas.openxmlformats.org/officeDocument/2006/relationships/hyperlink" Target="https://www.compraspublicas.gob.ec/ProcesoContratacion/compras/PC/informacionProcesoContratacion2.cpe?idSoliCompra=hdVk-IiG_ic6aXLIyvfSV2Kwi6M91Uaus6VV5HoV8Y0," TargetMode="External"/><Relationship Id="rId133" Type="http://schemas.openxmlformats.org/officeDocument/2006/relationships/hyperlink" Target="https://www.compraspublicas.gob.ec/ProcesoContratacion/compras/PC/informacionProcesoContratacion2.cpe?idSoliCompra=If4v3alkqbn8ZoIyrxv21IXLeqnM0lo_d8x_xhGwy6o," TargetMode="External"/><Relationship Id="rId16" Type="http://schemas.openxmlformats.org/officeDocument/2006/relationships/hyperlink" Target="https://www.compraspublicas.gob.ec/ProcesoContratacion/compras/PC/informacionProcesoContratacion2.cpe?idSoliCompra=Zn1rke-lui9IcJIBw-IEt5hbVY5zdJH6UlInUPKL_ys," TargetMode="External"/><Relationship Id="rId37" Type="http://schemas.openxmlformats.org/officeDocument/2006/relationships/hyperlink" Target="https://www.compraspublicas.gob.ec/ProcesoContratacion/compras/PC/informacionProcesoContratacion2.cpe?idSoliCompra=4DZu6Hv1a7F0G0KZFKhGuEjrfYriPnqWoxqVAwAg5hk," TargetMode="External"/><Relationship Id="rId58" Type="http://schemas.openxmlformats.org/officeDocument/2006/relationships/hyperlink" Target="https://www.compraspublicas.gob.ec/ProcesoContratacion/compras/PC/informacionProcesoContratacion2.cpe?idSoliCompra=okiAhvs2XPGPM4_UqPZSKgCNeDPNpabE7fo35HQTMs0," TargetMode="External"/><Relationship Id="rId79" Type="http://schemas.openxmlformats.org/officeDocument/2006/relationships/hyperlink" Target="https://www.compraspublicas.gob.ec/ProcesoContratacion/compras/PC/informacionProcesoContratacion2.cpe?idSoliCompra=-nll65N8OmdmgTfigQ1fVOcfOp3moGD528nfa1P8xYs," TargetMode="External"/><Relationship Id="rId102" Type="http://schemas.openxmlformats.org/officeDocument/2006/relationships/hyperlink" Target="https://www.compraspublicas.gob.ec/ProcesoContratacion/compras/PC/informacionProcesoContratacion2.cpe?idSoliCompra=4aYkVWtvfImm8fCG075pp7siGK9V6MSjqUNecbCbZIU," TargetMode="External"/><Relationship Id="rId123" Type="http://schemas.openxmlformats.org/officeDocument/2006/relationships/hyperlink" Target="https://www.compraspublicas.gob.ec/ProcesoContratacion/compras/PC/informacionProcesoContratacion2.cpe?idSoliCompra=iIJkYQR-14BXt7yPM2gN5f3TBJqhOC0pP37xoMKikis," TargetMode="External"/><Relationship Id="rId144" Type="http://schemas.openxmlformats.org/officeDocument/2006/relationships/hyperlink" Target="https://www.compraspublicas.gob.ec/ProcesoContratacion/compras/PC/informacionProcesoContratacion2.cpe?idSoliCompra=vKZMjOWxbtmVjI5ptrMqjzAy9YNAyjdCaqWjvamTOZI," TargetMode="External"/><Relationship Id="rId90" Type="http://schemas.openxmlformats.org/officeDocument/2006/relationships/hyperlink" Target="https://www.compraspublicas.gob.ec/ProcesoContratacion/compras/PC/informacionProcesoContratacion2.cpe?idSoliCompra=YgqVJUFHzvLyb43-_pAAj39p6pwLMUREBlsPaU3D5Z0,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MSjp68OkCchgatGKq5kS53G2O-YyN5HT899rTNihGFk," TargetMode="External"/><Relationship Id="rId13" Type="http://schemas.openxmlformats.org/officeDocument/2006/relationships/hyperlink" Target="https://www.compraspublicas.gob.ec/ProcesoContratacion/compras/PC/informacionProcesoContratacion2.cpe?idSoliCompra=dwUFZymuPLadUfzXrnrom2SSGQ85uPDPwBoqBSXK2P0," TargetMode="External"/><Relationship Id="rId18" Type="http://schemas.openxmlformats.org/officeDocument/2006/relationships/hyperlink" Target="https://www.compraspublicas.gob.ec/ProcesoContratacion/compras/PC/informacionProcesoContratacion2.cpe?idSoliCompra=4GoWTMY9dE1jjIBZz1CHUCUQ9Bpnh6YyCbEl6EOO_ic," TargetMode="External"/><Relationship Id="rId26" Type="http://schemas.openxmlformats.org/officeDocument/2006/relationships/printerSettings" Target="../printerSettings/printerSettings6.bin"/><Relationship Id="rId3" Type="http://schemas.openxmlformats.org/officeDocument/2006/relationships/hyperlink" Target="https://www.compraspublicas.gob.ec/ProcesoContratacion/compras/PC/informacionProcesoContratacion2.cpe?idSoliCompra=oXlWtexDSUvIQAHfqPkVzycykxJL3R-el-Ptw81-dYw," TargetMode="External"/><Relationship Id="rId21" Type="http://schemas.openxmlformats.org/officeDocument/2006/relationships/hyperlink" Target="https://www.compraspublicas.gob.ec/ProcesoContratacion/compras/PC/informacionProcesoContratacion2.cpe?idSoliCompra=I7piuVIk1jbdxWqR13Ar8PSNFyJ0UylSFPgScib9qUs," TargetMode="External"/><Relationship Id="rId7" Type="http://schemas.openxmlformats.org/officeDocument/2006/relationships/hyperlink" Target="https://www.compraspublicas.gob.ec/ProcesoContratacion/compras/PC/informacionProcesoContratacion2.cpe?idSoliCompra=LcGI1Ouhh0vlQFb3z00pRP9yxqMfYBHDkfKzPCSxqVs," TargetMode="External"/><Relationship Id="rId12" Type="http://schemas.openxmlformats.org/officeDocument/2006/relationships/hyperlink" Target="https://www.compraspublicas.gob.ec/ProcesoContratacion/compras/SC/sci.cpe?idSoliCompra=2lYqchHquMShgu0T_IjPfBFPPq_w2fhof4x-JP7QFZQ," TargetMode="External"/><Relationship Id="rId17" Type="http://schemas.openxmlformats.org/officeDocument/2006/relationships/hyperlink" Target="https://www.compraspublicas.gob.ec/ProcesoContratacion/compras/PC/informacionProcesoContratacion2.cpe?idSoliCompra=_F1A6MUC9SUx_MVv3Abv-zkqprOM4Zx7O_-shpSgeSo," TargetMode="External"/><Relationship Id="rId25" Type="http://schemas.openxmlformats.org/officeDocument/2006/relationships/hyperlink" Target="https://www.compraspublicas.gob.ec/ProcesoContratacion/compras/PC/informacionProcesoContratacion2.cpe?idSoliCompra=nggoO0e0PY8SP7gxN5sZAssP__hTde9Z7XijWiLMUpc," TargetMode="External"/><Relationship Id="rId2" Type="http://schemas.openxmlformats.org/officeDocument/2006/relationships/hyperlink" Target="https://www.compraspublicas.gob.ec/ProcesoContratacion/compras/PC/informacionProcesoContratacion2.cpe?idSoliCompra=CXUVupnGmV-ikitPrsh9GxNhubTfOkMvbhBKEMk89xI," TargetMode="External"/><Relationship Id="rId16" Type="http://schemas.openxmlformats.org/officeDocument/2006/relationships/hyperlink" Target="https://www.compraspublicas.gob.ec/ProcesoContratacion/compras/PC/informacionProcesoContratacion2.cpe?idSoliCompra=NJxVypgSXd0UIDu5nqv-cC-RS089Pj9cBGVhe3UjAMg," TargetMode="External"/><Relationship Id="rId20" Type="http://schemas.openxmlformats.org/officeDocument/2006/relationships/hyperlink" Target="https://www.compraspublicas.gob.ec/ProcesoContratacion/compras/PC/informacionProcesoContratacion2.cpe?idSoliCompra=aD3iHEYQykvt-WXmFJ8Fq_iZQNJjA1oej9fGLXBg9tQ," TargetMode="External"/><Relationship Id="rId1" Type="http://schemas.openxmlformats.org/officeDocument/2006/relationships/hyperlink" Target="https://www.compraspublicas.gob.ec/ProcesoContratacion/compras/PC/informacionProcesoContratacion2.cpe?idSoliCompra=CXUVupnGmV-ikitPrsh9GxNhubTfOkMvbhBKEMk89xI," TargetMode="External"/><Relationship Id="rId6" Type="http://schemas.openxmlformats.org/officeDocument/2006/relationships/hyperlink" Target="https://www.compraspublicas.gob.ec/ProcesoContratacion/compras/PC/informacionProcesoContratacion2.cpe?idSoliCompra=7h-D9H89-hvWHDVer3Z2ryxE1I7BrauflVa4GKorz5M," TargetMode="External"/><Relationship Id="rId11" Type="http://schemas.openxmlformats.org/officeDocument/2006/relationships/hyperlink" Target="https://www.compraspublicas.gob.ec/ProcesoContratacion/compras/SC/sci.cpe?idSoliCompra=cAY9sxH65_YBicckGS0_bdSoooGqvdoXQf9LNlOSwaM," TargetMode="External"/><Relationship Id="rId24" Type="http://schemas.openxmlformats.org/officeDocument/2006/relationships/hyperlink" Target="https://www.compraspublicas.gob.ec/ProcesoContratacion/compras/PC/informacionProcesoContratacion2.cpe?idSoliCompra=JK5ceDojvOWxcDlm8tIP1AEZLwYWTpg2e1eZvOec5hE," TargetMode="External"/><Relationship Id="rId5" Type="http://schemas.openxmlformats.org/officeDocument/2006/relationships/hyperlink" Target="https://www.compraspublicas.gob.ec/ProcesoContratacion/compras/PC/informacionProcesoContratacion2.cpe?idSoliCompra=kmFG2YsDG3EdOfsaO8u2fWJI9PfykONsSVcDe2jFg2g," TargetMode="External"/><Relationship Id="rId15" Type="http://schemas.openxmlformats.org/officeDocument/2006/relationships/hyperlink" Target="https://www.compraspublicas.gob.ec/ProcesoContratacion/compras/PC/informacionProcesoContratacion2.cpe?idSoliCompra=BTNYkboFULvHyE0EfA7vaARrp6aENPy8frwH-vLoUmA," TargetMode="External"/><Relationship Id="rId23" Type="http://schemas.openxmlformats.org/officeDocument/2006/relationships/hyperlink" Target="https://www.compraspublicas.gob.ec/ProcesoContratacion/compras/PC/informacionProcesoContratacion2.cpe?idSoliCompra=czm6U3FMrEt9ZVceZPue--ENPdny3O6bvtWgRfxsRYc," TargetMode="External"/><Relationship Id="rId10" Type="http://schemas.openxmlformats.org/officeDocument/2006/relationships/hyperlink" Target="https://www.compraspublicas.gob.ec/ProcesoContratacion/compras/PC/informacionProcesoContratacion2.cpe?idSoliCompra=hARvq284byLvGnC3aSBwIm1Y5n5hPz3Ys7qXb38W7sE," TargetMode="External"/><Relationship Id="rId19" Type="http://schemas.openxmlformats.org/officeDocument/2006/relationships/hyperlink" Target="https://www.compraspublicas.gob.ec/ProcesoContratacion/compras/PC/informacionProcesoContratacion2.cpe?idSoliCompra=K7XWGLEpbQo2gSl5dbIJNM6GCWUCcBEtbuqFLbZjGJY," TargetMode="External"/><Relationship Id="rId4" Type="http://schemas.openxmlformats.org/officeDocument/2006/relationships/hyperlink" Target="https://www.compraspublicas.gob.ec/ProcesoContratacion/compras/PC/informacionProcesoContratacion2.cpe?idSoliCompra=TGoKUXDaK5c9tVdSOHNZUySL8KF119f7qerjZmwU5eg," TargetMode="External"/><Relationship Id="rId9" Type="http://schemas.openxmlformats.org/officeDocument/2006/relationships/hyperlink" Target="https://www.compraspublicas.gob.ec/ProcesoContratacion/compras/PC/informacionProcesoContratacion2.cpe?idSoliCompra=--idZMzShK1NeQNxj5ycRnAidCsvPdw4FazZMhEt2lw," TargetMode="External"/><Relationship Id="rId14" Type="http://schemas.openxmlformats.org/officeDocument/2006/relationships/hyperlink" Target="https://www.compraspublicas.gob.ec/ProcesoContratacion/compras/PC/informacionProcesoContratacion2.cpe?idSoliCompra=eFJA_T2HbsJMPhQTCaz5SWwxjavLSilf4SQsFHPzHS8," TargetMode="External"/><Relationship Id="rId22" Type="http://schemas.openxmlformats.org/officeDocument/2006/relationships/hyperlink" Target="https://www.compraspublicas.gob.ec/ProcesoContratacion/compras/PC/informacionProcesoContratacion2.cpe?idSoliCompra=vUELR3ZPbqLbmTX-nfksMuaocaDOowTDhnk79vLqiYQ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09"/>
  <sheetViews>
    <sheetView tabSelected="1" zoomScaleNormal="100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K56" sqref="K56"/>
    </sheetView>
  </sheetViews>
  <sheetFormatPr baseColWidth="10" defaultRowHeight="15" x14ac:dyDescent="0.25"/>
  <cols>
    <col min="1" max="1" width="17" style="240" customWidth="1"/>
    <col min="2" max="2" width="11.42578125" style="240" customWidth="1"/>
    <col min="3" max="3" width="21.140625" style="240" customWidth="1"/>
    <col min="4" max="4" width="17.42578125" style="240" customWidth="1"/>
    <col min="5" max="5" width="44.7109375" style="240" customWidth="1"/>
    <col min="6" max="6" width="12.140625" style="267" customWidth="1"/>
    <col min="7" max="7" width="14.140625" style="240" customWidth="1"/>
    <col min="8" max="8" width="15.7109375" style="248" customWidth="1"/>
    <col min="9" max="9" width="13.140625" style="248" customWidth="1"/>
    <col min="10" max="10" width="12.140625" style="248" customWidth="1"/>
    <col min="11" max="11" width="17.42578125" style="308" customWidth="1"/>
    <col min="12" max="12" width="15.28515625" style="248" customWidth="1"/>
    <col min="13" max="13" width="17.140625" style="313" customWidth="1"/>
    <col min="14" max="14" width="16.7109375" style="249" customWidth="1"/>
    <col min="15" max="15" width="17" style="249" customWidth="1"/>
    <col min="16" max="16" width="10.7109375" style="240" customWidth="1"/>
    <col min="17" max="17" width="30.140625" style="240" customWidth="1"/>
    <col min="18" max="18" width="24.5703125" style="240" customWidth="1"/>
    <col min="19" max="19" width="14.28515625" style="267" customWidth="1"/>
    <col min="20" max="20" width="13.28515625" style="240" customWidth="1"/>
    <col min="21" max="21" width="11.28515625" style="269" customWidth="1"/>
    <col min="22" max="22" width="19" style="267" bestFit="1" customWidth="1"/>
    <col min="23" max="23" width="17" style="240" bestFit="1" customWidth="1"/>
    <col min="24" max="24" width="15" style="201" customWidth="1"/>
    <col min="25" max="25" width="18.7109375" style="185" bestFit="1" customWidth="1"/>
    <col min="26" max="26" width="13.85546875" style="185" bestFit="1" customWidth="1"/>
    <col min="27" max="16384" width="11.42578125" style="185"/>
  </cols>
  <sheetData>
    <row r="1" spans="1:24" ht="43.5" customHeight="1" x14ac:dyDescent="0.25">
      <c r="A1" s="9" t="s">
        <v>14</v>
      </c>
      <c r="B1" s="9" t="s">
        <v>15</v>
      </c>
      <c r="C1" s="9" t="s">
        <v>0</v>
      </c>
      <c r="D1" s="9" t="s">
        <v>1</v>
      </c>
      <c r="E1" s="9" t="s">
        <v>46</v>
      </c>
      <c r="F1" s="9" t="s">
        <v>2</v>
      </c>
      <c r="G1" s="9" t="s">
        <v>3</v>
      </c>
      <c r="H1" s="309" t="s">
        <v>4</v>
      </c>
      <c r="I1" s="309" t="s">
        <v>8</v>
      </c>
      <c r="J1" s="309" t="s">
        <v>24</v>
      </c>
      <c r="K1" s="309" t="s">
        <v>25</v>
      </c>
      <c r="L1" s="309" t="s">
        <v>16</v>
      </c>
      <c r="M1" s="309" t="s">
        <v>467</v>
      </c>
      <c r="N1" s="314" t="s">
        <v>5</v>
      </c>
      <c r="O1" s="314" t="s">
        <v>11</v>
      </c>
      <c r="P1" s="9" t="s">
        <v>9</v>
      </c>
      <c r="Q1" s="9" t="s">
        <v>10</v>
      </c>
      <c r="R1" s="9" t="s">
        <v>22</v>
      </c>
      <c r="S1" s="274" t="s">
        <v>12</v>
      </c>
      <c r="T1" s="274" t="s">
        <v>18</v>
      </c>
      <c r="U1" s="7" t="s">
        <v>17</v>
      </c>
      <c r="V1" s="274" t="s">
        <v>19</v>
      </c>
      <c r="W1" s="6" t="s">
        <v>13</v>
      </c>
      <c r="X1" s="2"/>
    </row>
    <row r="2" spans="1:24" customFormat="1" ht="25.5" hidden="1" x14ac:dyDescent="0.25">
      <c r="A2" s="20" t="s">
        <v>48</v>
      </c>
      <c r="B2" s="20"/>
      <c r="C2" s="21" t="s">
        <v>44</v>
      </c>
      <c r="D2" s="22" t="s">
        <v>6</v>
      </c>
      <c r="E2" s="22" t="s">
        <v>45</v>
      </c>
      <c r="F2" s="22" t="s">
        <v>66</v>
      </c>
      <c r="G2" s="22" t="s">
        <v>7</v>
      </c>
      <c r="H2" s="22" t="s">
        <v>27</v>
      </c>
      <c r="I2" s="23"/>
      <c r="J2" s="20"/>
      <c r="K2" s="24"/>
      <c r="L2" s="24"/>
      <c r="M2" s="24"/>
      <c r="N2" s="78">
        <v>44291.416666666664</v>
      </c>
      <c r="O2" s="25"/>
      <c r="P2" s="20"/>
      <c r="Q2" s="20"/>
      <c r="R2" s="20"/>
      <c r="S2" s="20"/>
      <c r="T2" s="20"/>
      <c r="U2" s="26"/>
      <c r="V2" s="20"/>
      <c r="W2" s="20"/>
      <c r="X2" s="1"/>
    </row>
    <row r="3" spans="1:24" customFormat="1" ht="25.5" hidden="1" x14ac:dyDescent="0.25">
      <c r="A3" s="20" t="s">
        <v>48</v>
      </c>
      <c r="B3" s="20"/>
      <c r="C3" s="21" t="s">
        <v>55</v>
      </c>
      <c r="D3" s="22" t="s">
        <v>6</v>
      </c>
      <c r="E3" s="22" t="s">
        <v>56</v>
      </c>
      <c r="F3" s="22" t="s">
        <v>66</v>
      </c>
      <c r="G3" s="22" t="s">
        <v>7</v>
      </c>
      <c r="H3" s="22" t="s">
        <v>27</v>
      </c>
      <c r="I3" s="23"/>
      <c r="J3" s="27"/>
      <c r="K3" s="24"/>
      <c r="L3" s="24"/>
      <c r="M3" s="24"/>
      <c r="N3" s="78">
        <v>44294.333333333336</v>
      </c>
      <c r="O3" s="25"/>
      <c r="P3" s="20"/>
      <c r="Q3" s="20"/>
      <c r="R3" s="20"/>
      <c r="S3" s="20"/>
      <c r="T3" s="20"/>
      <c r="U3" s="26"/>
      <c r="V3" s="20"/>
      <c r="W3" s="20"/>
      <c r="X3" s="1"/>
    </row>
    <row r="4" spans="1:24" s="1" customFormat="1" ht="38.25" hidden="1" x14ac:dyDescent="0.25">
      <c r="A4" s="81"/>
      <c r="B4" s="81"/>
      <c r="C4" s="82" t="s">
        <v>128</v>
      </c>
      <c r="D4" s="83" t="s">
        <v>6</v>
      </c>
      <c r="E4" s="83" t="s">
        <v>129</v>
      </c>
      <c r="F4" s="83" t="s">
        <v>66</v>
      </c>
      <c r="G4" s="83" t="s">
        <v>7</v>
      </c>
      <c r="H4" s="83" t="s">
        <v>27</v>
      </c>
      <c r="I4" s="84"/>
      <c r="J4" s="85"/>
      <c r="K4" s="86"/>
      <c r="L4" s="86"/>
      <c r="M4" s="86"/>
      <c r="N4" s="84">
        <v>44319.520833333336</v>
      </c>
      <c r="O4" s="87"/>
      <c r="P4" s="81"/>
      <c r="Q4" s="81"/>
      <c r="R4" s="81"/>
      <c r="S4" s="81"/>
      <c r="T4" s="81"/>
      <c r="U4" s="88"/>
      <c r="V4" s="81"/>
      <c r="W4" s="81"/>
    </row>
    <row r="5" spans="1:24" s="1" customFormat="1" ht="38.25" hidden="1" x14ac:dyDescent="0.25">
      <c r="A5" s="81"/>
      <c r="B5" s="81"/>
      <c r="C5" s="82" t="s">
        <v>121</v>
      </c>
      <c r="D5" s="83" t="s">
        <v>6</v>
      </c>
      <c r="E5" s="83" t="s">
        <v>122</v>
      </c>
      <c r="F5" s="83" t="s">
        <v>66</v>
      </c>
      <c r="G5" s="83" t="s">
        <v>7</v>
      </c>
      <c r="H5" s="83" t="s">
        <v>27</v>
      </c>
      <c r="I5" s="84"/>
      <c r="J5" s="85"/>
      <c r="K5" s="86"/>
      <c r="L5" s="86"/>
      <c r="M5" s="86"/>
      <c r="N5" s="84">
        <v>44319.532638888886</v>
      </c>
      <c r="O5" s="87"/>
      <c r="P5" s="81"/>
      <c r="Q5" s="81"/>
      <c r="R5" s="81"/>
      <c r="S5" s="81"/>
      <c r="T5" s="81"/>
      <c r="U5" s="88"/>
      <c r="V5" s="81"/>
      <c r="W5" s="81"/>
    </row>
    <row r="6" spans="1:24" customFormat="1" ht="38.25" hidden="1" x14ac:dyDescent="0.25">
      <c r="A6" s="81"/>
      <c r="B6" s="81"/>
      <c r="C6" s="82" t="s">
        <v>136</v>
      </c>
      <c r="D6" s="83" t="s">
        <v>6</v>
      </c>
      <c r="E6" s="83" t="s">
        <v>137</v>
      </c>
      <c r="F6" s="83" t="s">
        <v>66</v>
      </c>
      <c r="G6" s="83" t="s">
        <v>7</v>
      </c>
      <c r="H6" s="83" t="s">
        <v>27</v>
      </c>
      <c r="I6" s="84"/>
      <c r="J6" s="85"/>
      <c r="K6" s="86"/>
      <c r="L6" s="86"/>
      <c r="M6" s="86"/>
      <c r="N6" s="84">
        <v>44320.396527777775</v>
      </c>
      <c r="O6" s="87"/>
      <c r="P6" s="81"/>
      <c r="Q6" s="81"/>
      <c r="R6" s="81"/>
      <c r="S6" s="81"/>
      <c r="T6" s="81"/>
      <c r="U6" s="88"/>
      <c r="V6" s="81"/>
      <c r="W6" s="81"/>
      <c r="X6" s="1"/>
    </row>
    <row r="7" spans="1:24" s="1" customFormat="1" ht="38.25" hidden="1" x14ac:dyDescent="0.25">
      <c r="A7" s="81"/>
      <c r="B7" s="81"/>
      <c r="C7" s="82" t="s">
        <v>220</v>
      </c>
      <c r="D7" s="83" t="s">
        <v>6</v>
      </c>
      <c r="E7" s="83" t="s">
        <v>129</v>
      </c>
      <c r="F7" s="83" t="s">
        <v>66</v>
      </c>
      <c r="G7" s="83" t="s">
        <v>7</v>
      </c>
      <c r="H7" s="83" t="s">
        <v>27</v>
      </c>
      <c r="I7" s="150"/>
      <c r="J7" s="85"/>
      <c r="K7" s="86"/>
      <c r="L7" s="86"/>
      <c r="M7" s="86"/>
      <c r="N7" s="84">
        <v>44355.541666666664</v>
      </c>
      <c r="O7" s="87"/>
      <c r="P7" s="81"/>
      <c r="Q7" s="81"/>
      <c r="R7" s="81"/>
      <c r="S7" s="81"/>
      <c r="T7" s="81"/>
      <c r="U7" s="88"/>
      <c r="V7" s="81"/>
      <c r="W7" s="81"/>
    </row>
    <row r="8" spans="1:24" customFormat="1" ht="38.25" hidden="1" x14ac:dyDescent="0.25">
      <c r="A8" s="81"/>
      <c r="B8" s="82"/>
      <c r="C8" s="83" t="s">
        <v>244</v>
      </c>
      <c r="D8" s="83" t="s">
        <v>6</v>
      </c>
      <c r="E8" s="83" t="s">
        <v>245</v>
      </c>
      <c r="F8" s="83" t="s">
        <v>66</v>
      </c>
      <c r="G8" s="83" t="s">
        <v>7</v>
      </c>
      <c r="H8" s="84" t="s">
        <v>27</v>
      </c>
      <c r="I8" s="150"/>
      <c r="J8" s="86"/>
      <c r="K8" s="86"/>
      <c r="L8" s="84"/>
      <c r="M8" s="84"/>
      <c r="N8" s="84">
        <v>44364.541666666664</v>
      </c>
      <c r="O8" s="81"/>
      <c r="P8" s="81"/>
      <c r="Q8" s="81"/>
      <c r="R8" s="81"/>
      <c r="S8" s="81"/>
      <c r="T8" s="88"/>
      <c r="U8" s="81"/>
      <c r="V8" s="81"/>
      <c r="W8" s="81"/>
      <c r="X8" s="1"/>
    </row>
    <row r="9" spans="1:24" customFormat="1" ht="25.5" hidden="1" x14ac:dyDescent="0.25">
      <c r="A9" s="20" t="s">
        <v>48</v>
      </c>
      <c r="B9" s="21"/>
      <c r="C9" s="22" t="s">
        <v>246</v>
      </c>
      <c r="D9" s="22" t="s">
        <v>6</v>
      </c>
      <c r="E9" s="22" t="s">
        <v>247</v>
      </c>
      <c r="F9" s="22" t="s">
        <v>66</v>
      </c>
      <c r="G9" s="22" t="s">
        <v>7</v>
      </c>
      <c r="H9" s="23" t="s">
        <v>27</v>
      </c>
      <c r="I9" s="141"/>
      <c r="J9" s="24"/>
      <c r="K9" s="24"/>
      <c r="L9" s="23"/>
      <c r="M9" s="23"/>
      <c r="N9" s="23">
        <v>44364.583333333336</v>
      </c>
      <c r="O9" s="20"/>
      <c r="P9" s="20"/>
      <c r="Q9" s="20"/>
      <c r="R9" s="20"/>
      <c r="S9" s="20"/>
      <c r="T9" s="26"/>
      <c r="U9" s="20"/>
      <c r="V9" s="20"/>
      <c r="W9" s="20"/>
      <c r="X9" s="1"/>
    </row>
    <row r="10" spans="1:24" customFormat="1" ht="25.5" hidden="1" x14ac:dyDescent="0.25">
      <c r="A10" s="20" t="s">
        <v>48</v>
      </c>
      <c r="B10" s="21"/>
      <c r="C10" s="22" t="s">
        <v>248</v>
      </c>
      <c r="D10" s="22" t="s">
        <v>6</v>
      </c>
      <c r="E10" s="22" t="s">
        <v>249</v>
      </c>
      <c r="F10" s="22" t="s">
        <v>66</v>
      </c>
      <c r="G10" s="22" t="s">
        <v>7</v>
      </c>
      <c r="H10" s="23" t="s">
        <v>27</v>
      </c>
      <c r="I10" s="141"/>
      <c r="J10" s="24"/>
      <c r="K10" s="24"/>
      <c r="L10" s="23"/>
      <c r="M10" s="23"/>
      <c r="N10" s="23">
        <v>44364.625</v>
      </c>
      <c r="O10" s="20"/>
      <c r="P10" s="20"/>
      <c r="Q10" s="20"/>
      <c r="R10" s="20"/>
      <c r="S10" s="20"/>
      <c r="T10" s="26"/>
      <c r="U10" s="20"/>
      <c r="V10" s="20"/>
      <c r="W10" s="20"/>
      <c r="X10" s="1"/>
    </row>
    <row r="11" spans="1:24" s="1" customFormat="1" ht="38.25" hidden="1" x14ac:dyDescent="0.25">
      <c r="A11" s="20" t="s">
        <v>48</v>
      </c>
      <c r="B11" s="21"/>
      <c r="C11" s="22" t="s">
        <v>284</v>
      </c>
      <c r="D11" s="22" t="s">
        <v>6</v>
      </c>
      <c r="E11" s="22" t="s">
        <v>285</v>
      </c>
      <c r="F11" s="22" t="s">
        <v>66</v>
      </c>
      <c r="G11" s="22" t="s">
        <v>7</v>
      </c>
      <c r="H11" s="141">
        <v>0</v>
      </c>
      <c r="I11" s="27"/>
      <c r="J11" s="24"/>
      <c r="K11" s="24"/>
      <c r="L11" s="23"/>
      <c r="M11" s="23"/>
      <c r="N11" s="23">
        <v>44379.458333333336</v>
      </c>
      <c r="O11" s="20"/>
      <c r="P11" s="20"/>
      <c r="Q11" s="20"/>
      <c r="R11" s="20"/>
      <c r="S11" s="20"/>
      <c r="T11" s="26"/>
      <c r="U11" s="20"/>
      <c r="V11" s="20"/>
      <c r="W11" s="20"/>
    </row>
    <row r="12" spans="1:24" s="1" customFormat="1" ht="25.5" hidden="1" x14ac:dyDescent="0.25">
      <c r="A12" s="81"/>
      <c r="B12" s="82"/>
      <c r="C12" s="83" t="s">
        <v>296</v>
      </c>
      <c r="D12" s="83" t="s">
        <v>6</v>
      </c>
      <c r="E12" s="83" t="s">
        <v>297</v>
      </c>
      <c r="F12" s="83" t="s">
        <v>104</v>
      </c>
      <c r="G12" s="83" t="s">
        <v>7</v>
      </c>
      <c r="H12" s="150" t="s">
        <v>27</v>
      </c>
      <c r="I12" s="85"/>
      <c r="J12" s="86"/>
      <c r="K12" s="86"/>
      <c r="L12" s="84"/>
      <c r="M12" s="84"/>
      <c r="N12" s="84">
        <v>44382.833333333336</v>
      </c>
      <c r="O12" s="81"/>
      <c r="P12" s="81"/>
      <c r="Q12" s="81"/>
      <c r="R12" s="81"/>
      <c r="S12" s="81"/>
      <c r="T12" s="88"/>
      <c r="U12" s="81"/>
      <c r="V12" s="81"/>
      <c r="W12" s="81"/>
    </row>
    <row r="13" spans="1:24" s="1" customFormat="1" ht="25.5" hidden="1" x14ac:dyDescent="0.25">
      <c r="A13" s="81"/>
      <c r="B13" s="82"/>
      <c r="C13" s="83" t="s">
        <v>298</v>
      </c>
      <c r="D13" s="83" t="s">
        <v>6</v>
      </c>
      <c r="E13" s="83" t="s">
        <v>299</v>
      </c>
      <c r="F13" s="83" t="s">
        <v>66</v>
      </c>
      <c r="G13" s="83" t="s">
        <v>7</v>
      </c>
      <c r="H13" s="150" t="s">
        <v>27</v>
      </c>
      <c r="I13" s="85"/>
      <c r="J13" s="86"/>
      <c r="K13" s="86"/>
      <c r="L13" s="84"/>
      <c r="M13" s="84"/>
      <c r="N13" s="84">
        <v>44383.5</v>
      </c>
      <c r="O13" s="81"/>
      <c r="P13" s="81"/>
      <c r="Q13" s="81"/>
      <c r="R13" s="81"/>
      <c r="S13" s="81"/>
      <c r="T13" s="88"/>
      <c r="U13" s="81"/>
      <c r="V13" s="81"/>
      <c r="W13" s="81"/>
    </row>
    <row r="14" spans="1:24" s="1" customFormat="1" ht="25.5" hidden="1" x14ac:dyDescent="0.25">
      <c r="A14" s="20" t="s">
        <v>48</v>
      </c>
      <c r="B14" s="21"/>
      <c r="C14" s="22" t="s">
        <v>311</v>
      </c>
      <c r="D14" s="22" t="s">
        <v>6</v>
      </c>
      <c r="E14" s="22" t="s">
        <v>312</v>
      </c>
      <c r="F14" s="22" t="s">
        <v>66</v>
      </c>
      <c r="G14" s="22" t="s">
        <v>7</v>
      </c>
      <c r="H14" s="141" t="s">
        <v>27</v>
      </c>
      <c r="I14" s="27"/>
      <c r="J14" s="24"/>
      <c r="K14" s="24"/>
      <c r="L14" s="23"/>
      <c r="M14" s="23"/>
      <c r="N14" s="23">
        <v>44406.5</v>
      </c>
      <c r="O14" s="20"/>
      <c r="P14" s="20"/>
      <c r="Q14" s="20"/>
      <c r="R14" s="20"/>
      <c r="S14" s="20"/>
      <c r="T14" s="26"/>
      <c r="U14" s="20"/>
      <c r="V14" s="20"/>
      <c r="W14" s="20"/>
    </row>
    <row r="15" spans="1:24" s="1" customFormat="1" ht="38.25" hidden="1" x14ac:dyDescent="0.25">
      <c r="A15" s="81"/>
      <c r="B15" s="81"/>
      <c r="C15" s="83" t="s">
        <v>329</v>
      </c>
      <c r="D15" s="83" t="s">
        <v>6</v>
      </c>
      <c r="E15" s="83" t="s">
        <v>330</v>
      </c>
      <c r="F15" s="83" t="s">
        <v>66</v>
      </c>
      <c r="G15" s="83" t="s">
        <v>7</v>
      </c>
      <c r="H15" s="150" t="s">
        <v>27</v>
      </c>
      <c r="I15" s="85"/>
      <c r="J15" s="86"/>
      <c r="K15" s="86"/>
      <c r="L15" s="84"/>
      <c r="M15" s="84"/>
      <c r="N15" s="84">
        <v>44427.5</v>
      </c>
      <c r="O15" s="81"/>
      <c r="P15" s="81"/>
      <c r="Q15" s="81"/>
      <c r="R15" s="81"/>
      <c r="S15" s="81"/>
      <c r="T15" s="88"/>
      <c r="U15" s="81"/>
      <c r="V15" s="81"/>
      <c r="W15" s="81"/>
    </row>
    <row r="16" spans="1:24" s="1" customFormat="1" ht="25.5" hidden="1" x14ac:dyDescent="0.25">
      <c r="A16" s="20" t="s">
        <v>48</v>
      </c>
      <c r="B16" s="20"/>
      <c r="C16" s="22" t="s">
        <v>335</v>
      </c>
      <c r="D16" s="22" t="s">
        <v>6</v>
      </c>
      <c r="E16" s="22" t="s">
        <v>336</v>
      </c>
      <c r="F16" s="22" t="s">
        <v>66</v>
      </c>
      <c r="G16" s="22" t="s">
        <v>7</v>
      </c>
      <c r="H16" s="141" t="s">
        <v>27</v>
      </c>
      <c r="I16" s="27"/>
      <c r="J16" s="24"/>
      <c r="K16" s="24"/>
      <c r="L16" s="23"/>
      <c r="M16" s="23"/>
      <c r="N16" s="23">
        <v>44432.458333333336</v>
      </c>
      <c r="O16" s="20"/>
      <c r="P16" s="20"/>
      <c r="Q16" s="20"/>
      <c r="R16" s="20"/>
      <c r="S16" s="20"/>
      <c r="T16" s="26"/>
      <c r="U16" s="20"/>
      <c r="V16" s="20"/>
      <c r="W16" s="20"/>
    </row>
    <row r="17" spans="1:23" s="1" customFormat="1" ht="25.5" hidden="1" x14ac:dyDescent="0.25">
      <c r="A17" s="20" t="s">
        <v>48</v>
      </c>
      <c r="B17" s="21"/>
      <c r="C17" s="22" t="s">
        <v>355</v>
      </c>
      <c r="D17" s="22" t="s">
        <v>6</v>
      </c>
      <c r="E17" s="22" t="s">
        <v>356</v>
      </c>
      <c r="F17" s="22" t="s">
        <v>66</v>
      </c>
      <c r="G17" s="22" t="s">
        <v>7</v>
      </c>
      <c r="H17" s="141" t="s">
        <v>27</v>
      </c>
      <c r="I17" s="27"/>
      <c r="J17" s="24"/>
      <c r="K17" s="24"/>
      <c r="L17" s="23"/>
      <c r="M17" s="23"/>
      <c r="N17" s="23">
        <v>44454.75</v>
      </c>
      <c r="O17" s="20"/>
      <c r="P17" s="20"/>
      <c r="Q17" s="20"/>
      <c r="R17" s="20"/>
      <c r="S17" s="20"/>
      <c r="T17" s="26"/>
      <c r="U17" s="20"/>
      <c r="V17" s="20"/>
      <c r="W17" s="20"/>
    </row>
    <row r="18" spans="1:23" s="1" customFormat="1" ht="25.5" hidden="1" x14ac:dyDescent="0.25">
      <c r="A18" s="20" t="s">
        <v>48</v>
      </c>
      <c r="B18" s="21"/>
      <c r="C18" s="22" t="s">
        <v>390</v>
      </c>
      <c r="D18" s="22" t="s">
        <v>6</v>
      </c>
      <c r="E18" s="22" t="s">
        <v>324</v>
      </c>
      <c r="F18" s="22" t="s">
        <v>66</v>
      </c>
      <c r="G18" s="22" t="s">
        <v>7</v>
      </c>
      <c r="H18" s="141" t="s">
        <v>27</v>
      </c>
      <c r="I18" s="27"/>
      <c r="J18" s="24"/>
      <c r="K18" s="24"/>
      <c r="L18" s="23"/>
      <c r="M18" s="23"/>
      <c r="N18" s="23">
        <v>44495.708333333336</v>
      </c>
      <c r="O18" s="20"/>
      <c r="P18" s="20"/>
      <c r="Q18" s="20"/>
      <c r="R18" s="20"/>
      <c r="S18" s="20"/>
      <c r="T18" s="26"/>
      <c r="U18" s="20"/>
      <c r="V18" s="20"/>
      <c r="W18" s="20"/>
    </row>
    <row r="19" spans="1:23" s="1" customFormat="1" ht="25.5" hidden="1" x14ac:dyDescent="0.25">
      <c r="A19" s="20" t="s">
        <v>48</v>
      </c>
      <c r="B19" s="21"/>
      <c r="C19" s="22" t="s">
        <v>391</v>
      </c>
      <c r="D19" s="22" t="s">
        <v>6</v>
      </c>
      <c r="E19" s="22" t="s">
        <v>392</v>
      </c>
      <c r="F19" s="22" t="s">
        <v>66</v>
      </c>
      <c r="G19" s="22" t="s">
        <v>7</v>
      </c>
      <c r="H19" s="141" t="s">
        <v>27</v>
      </c>
      <c r="I19" s="27"/>
      <c r="J19" s="24"/>
      <c r="K19" s="24"/>
      <c r="L19" s="23"/>
      <c r="M19" s="23"/>
      <c r="N19" s="23">
        <v>44516.666666666664</v>
      </c>
      <c r="O19" s="20"/>
      <c r="P19" s="20"/>
      <c r="Q19" s="20"/>
      <c r="R19" s="20"/>
      <c r="S19" s="20"/>
      <c r="T19" s="26"/>
      <c r="U19" s="20"/>
      <c r="V19" s="20"/>
      <c r="W19" s="20"/>
    </row>
    <row r="20" spans="1:23" s="201" customFormat="1" ht="21" hidden="1" x14ac:dyDescent="0.25">
      <c r="A20" s="209" t="s">
        <v>47</v>
      </c>
      <c r="B20" s="210"/>
      <c r="C20" s="211" t="s">
        <v>415</v>
      </c>
      <c r="D20" s="212" t="s">
        <v>416</v>
      </c>
      <c r="E20" s="212" t="s">
        <v>417</v>
      </c>
      <c r="F20" s="264" t="s">
        <v>143</v>
      </c>
      <c r="G20" s="212" t="s">
        <v>7</v>
      </c>
      <c r="H20" s="212" t="s">
        <v>26</v>
      </c>
      <c r="I20" s="213"/>
      <c r="J20" s="205"/>
      <c r="K20" s="214"/>
      <c r="L20" s="215"/>
      <c r="M20" s="215"/>
      <c r="N20" s="213">
        <v>44291.645833333336</v>
      </c>
      <c r="O20" s="209"/>
      <c r="P20" s="209"/>
      <c r="Q20" s="209"/>
      <c r="R20" s="209"/>
      <c r="S20" s="271"/>
      <c r="T20" s="216"/>
      <c r="U20" s="271"/>
      <c r="V20" s="271"/>
      <c r="W20" s="209"/>
    </row>
    <row r="21" spans="1:23" s="201" customFormat="1" ht="31.5" hidden="1" x14ac:dyDescent="0.25">
      <c r="A21" s="209" t="s">
        <v>47</v>
      </c>
      <c r="B21" s="210"/>
      <c r="C21" s="211" t="s">
        <v>418</v>
      </c>
      <c r="D21" s="212" t="s">
        <v>416</v>
      </c>
      <c r="E21" s="212" t="s">
        <v>419</v>
      </c>
      <c r="F21" s="264" t="s">
        <v>143</v>
      </c>
      <c r="G21" s="212" t="s">
        <v>7</v>
      </c>
      <c r="H21" s="212" t="s">
        <v>26</v>
      </c>
      <c r="I21" s="213"/>
      <c r="J21" s="205"/>
      <c r="K21" s="214"/>
      <c r="L21" s="215"/>
      <c r="M21" s="215"/>
      <c r="N21" s="213">
        <v>44298.604166666664</v>
      </c>
      <c r="O21" s="209"/>
      <c r="P21" s="209"/>
      <c r="Q21" s="209"/>
      <c r="R21" s="209"/>
      <c r="S21" s="271"/>
      <c r="T21" s="216"/>
      <c r="U21" s="271"/>
      <c r="V21" s="271"/>
      <c r="W21" s="209"/>
    </row>
    <row r="22" spans="1:23" s="201" customFormat="1" ht="31.5" hidden="1" x14ac:dyDescent="0.25">
      <c r="A22" s="209" t="s">
        <v>47</v>
      </c>
      <c r="B22" s="210"/>
      <c r="C22" s="211" t="s">
        <v>420</v>
      </c>
      <c r="D22" s="212" t="s">
        <v>416</v>
      </c>
      <c r="E22" s="212" t="s">
        <v>421</v>
      </c>
      <c r="F22" s="264" t="s">
        <v>143</v>
      </c>
      <c r="G22" s="212" t="s">
        <v>7</v>
      </c>
      <c r="H22" s="212" t="s">
        <v>26</v>
      </c>
      <c r="I22" s="213"/>
      <c r="J22" s="205"/>
      <c r="K22" s="214"/>
      <c r="L22" s="215"/>
      <c r="M22" s="215"/>
      <c r="N22" s="213">
        <v>44291.6875</v>
      </c>
      <c r="O22" s="209"/>
      <c r="P22" s="209"/>
      <c r="Q22" s="209"/>
      <c r="R22" s="209"/>
      <c r="S22" s="271"/>
      <c r="T22" s="216"/>
      <c r="U22" s="271"/>
      <c r="V22" s="271"/>
      <c r="W22" s="209"/>
    </row>
    <row r="23" spans="1:23" s="201" customFormat="1" ht="42" x14ac:dyDescent="0.25">
      <c r="A23" s="217" t="s">
        <v>484</v>
      </c>
      <c r="B23" s="250">
        <v>530417</v>
      </c>
      <c r="C23" s="276" t="s">
        <v>485</v>
      </c>
      <c r="D23" s="220" t="s">
        <v>416</v>
      </c>
      <c r="E23" s="220" t="s">
        <v>494</v>
      </c>
      <c r="F23" s="265" t="s">
        <v>66</v>
      </c>
      <c r="G23" s="220" t="s">
        <v>7</v>
      </c>
      <c r="H23" s="221">
        <v>5265</v>
      </c>
      <c r="I23" s="221">
        <v>5265</v>
      </c>
      <c r="J23" s="206">
        <f>I23*0.12</f>
        <v>631.79999999999995</v>
      </c>
      <c r="K23" s="222">
        <f t="shared" ref="K23" si="0">I23+J23</f>
        <v>5896.8</v>
      </c>
      <c r="L23" s="223">
        <f>H23-I23</f>
        <v>0</v>
      </c>
      <c r="M23" s="310">
        <f>L23/H23</f>
        <v>0</v>
      </c>
      <c r="N23" s="224">
        <v>44348</v>
      </c>
      <c r="O23" s="225">
        <v>44357</v>
      </c>
      <c r="P23" s="217"/>
      <c r="Q23" s="217" t="s">
        <v>496</v>
      </c>
      <c r="R23" s="217" t="s">
        <v>495</v>
      </c>
      <c r="S23" s="275">
        <v>44361</v>
      </c>
      <c r="T23" s="226"/>
      <c r="U23" s="272">
        <v>2</v>
      </c>
      <c r="V23" s="275">
        <f>S23+U23</f>
        <v>44363</v>
      </c>
      <c r="W23" s="217"/>
    </row>
    <row r="24" spans="1:23" s="201" customFormat="1" ht="21" x14ac:dyDescent="0.25">
      <c r="A24" s="217" t="s">
        <v>484</v>
      </c>
      <c r="B24" s="250">
        <v>530203</v>
      </c>
      <c r="C24" s="276" t="s">
        <v>486</v>
      </c>
      <c r="D24" s="220" t="s">
        <v>416</v>
      </c>
      <c r="E24" s="220" t="s">
        <v>498</v>
      </c>
      <c r="F24" s="265" t="s">
        <v>66</v>
      </c>
      <c r="G24" s="220" t="s">
        <v>7</v>
      </c>
      <c r="H24" s="221">
        <v>3072</v>
      </c>
      <c r="I24" s="221">
        <v>3072</v>
      </c>
      <c r="J24" s="206">
        <f>I24*0.12</f>
        <v>368.64</v>
      </c>
      <c r="K24" s="222">
        <f>I24+J24</f>
        <v>3440.64</v>
      </c>
      <c r="L24" s="223">
        <f>H24-I24</f>
        <v>0</v>
      </c>
      <c r="M24" s="310">
        <f>L24/H24</f>
        <v>0</v>
      </c>
      <c r="N24" s="224">
        <v>44391</v>
      </c>
      <c r="O24" s="225">
        <v>44391</v>
      </c>
      <c r="P24" s="217"/>
      <c r="Q24" s="217" t="s">
        <v>500</v>
      </c>
      <c r="R24" s="217" t="s">
        <v>499</v>
      </c>
      <c r="S24" s="275">
        <v>44391</v>
      </c>
      <c r="T24" s="226"/>
      <c r="U24" s="272">
        <v>20</v>
      </c>
      <c r="V24" s="275">
        <f>S24+U24</f>
        <v>44411</v>
      </c>
      <c r="W24" s="217"/>
    </row>
    <row r="25" spans="1:23" s="201" customFormat="1" ht="21" x14ac:dyDescent="0.25">
      <c r="A25" s="217" t="s">
        <v>484</v>
      </c>
      <c r="B25" s="250">
        <v>530820</v>
      </c>
      <c r="C25" s="276" t="s">
        <v>487</v>
      </c>
      <c r="D25" s="220" t="s">
        <v>416</v>
      </c>
      <c r="E25" s="220" t="s">
        <v>497</v>
      </c>
      <c r="F25" s="265" t="s">
        <v>66</v>
      </c>
      <c r="G25" s="220" t="s">
        <v>7</v>
      </c>
      <c r="H25" s="221">
        <v>3420.42</v>
      </c>
      <c r="I25" s="221">
        <v>3420.42</v>
      </c>
      <c r="J25" s="206">
        <f>I25*0.12</f>
        <v>410.4504</v>
      </c>
      <c r="K25" s="222">
        <f>I25+J25</f>
        <v>3830.8704000000002</v>
      </c>
      <c r="L25" s="223">
        <f>H25-I25</f>
        <v>0</v>
      </c>
      <c r="M25" s="310">
        <f>L25/H25</f>
        <v>0</v>
      </c>
      <c r="N25" s="224">
        <v>44391</v>
      </c>
      <c r="O25" s="225">
        <v>44300</v>
      </c>
      <c r="P25" s="217"/>
      <c r="Q25" s="217" t="s">
        <v>501</v>
      </c>
      <c r="R25" s="217" t="s">
        <v>499</v>
      </c>
      <c r="S25" s="275">
        <v>44391</v>
      </c>
      <c r="T25" s="226"/>
      <c r="U25" s="272">
        <v>10</v>
      </c>
      <c r="V25" s="275">
        <f>S25+U25</f>
        <v>44401</v>
      </c>
      <c r="W25" s="217"/>
    </row>
    <row r="26" spans="1:23" s="201" customFormat="1" ht="31.5" x14ac:dyDescent="0.25">
      <c r="A26" s="217" t="s">
        <v>484</v>
      </c>
      <c r="B26" s="250">
        <v>530204</v>
      </c>
      <c r="C26" s="276" t="s">
        <v>488</v>
      </c>
      <c r="D26" s="220" t="s">
        <v>416</v>
      </c>
      <c r="E26" s="220" t="s">
        <v>502</v>
      </c>
      <c r="F26" s="265" t="s">
        <v>66</v>
      </c>
      <c r="G26" s="220" t="s">
        <v>7</v>
      </c>
      <c r="H26" s="221">
        <v>2678.57</v>
      </c>
      <c r="I26" s="221">
        <v>2678.57</v>
      </c>
      <c r="J26" s="206">
        <f>I26*0.12</f>
        <v>321.42840000000001</v>
      </c>
      <c r="K26" s="222">
        <f>I26+J26</f>
        <v>2999.9984000000004</v>
      </c>
      <c r="L26" s="223">
        <f>H26-I26</f>
        <v>0</v>
      </c>
      <c r="M26" s="310">
        <f>L26/H26</f>
        <v>0</v>
      </c>
      <c r="N26" s="224">
        <v>44410</v>
      </c>
      <c r="O26" s="225">
        <v>44410</v>
      </c>
      <c r="P26" s="217"/>
      <c r="Q26" s="217" t="s">
        <v>500</v>
      </c>
      <c r="R26" s="217" t="s">
        <v>506</v>
      </c>
      <c r="S26" s="275">
        <v>44410</v>
      </c>
      <c r="T26" s="226"/>
      <c r="U26" s="272">
        <v>10</v>
      </c>
      <c r="V26" s="275">
        <f>S26+U26</f>
        <v>44420</v>
      </c>
      <c r="W26" s="217"/>
    </row>
    <row r="27" spans="1:23" s="201" customFormat="1" ht="31.5" x14ac:dyDescent="0.25">
      <c r="A27" s="217" t="s">
        <v>484</v>
      </c>
      <c r="B27" s="250">
        <v>530802</v>
      </c>
      <c r="C27" s="276" t="s">
        <v>489</v>
      </c>
      <c r="D27" s="220" t="s">
        <v>416</v>
      </c>
      <c r="E27" s="220" t="s">
        <v>503</v>
      </c>
      <c r="F27" s="265" t="s">
        <v>66</v>
      </c>
      <c r="G27" s="220" t="s">
        <v>7</v>
      </c>
      <c r="H27" s="221">
        <v>2599.56</v>
      </c>
      <c r="I27" s="221">
        <v>2599.56</v>
      </c>
      <c r="J27" s="206">
        <f>I27*0.12</f>
        <v>311.94720000000001</v>
      </c>
      <c r="K27" s="222">
        <f>I27+J27</f>
        <v>2911.5072</v>
      </c>
      <c r="L27" s="223">
        <f>H27-I27</f>
        <v>0</v>
      </c>
      <c r="M27" s="310">
        <f>L27/H27</f>
        <v>0</v>
      </c>
      <c r="N27" s="224">
        <v>44410</v>
      </c>
      <c r="O27" s="225">
        <v>44410</v>
      </c>
      <c r="P27" s="217"/>
      <c r="Q27" s="217" t="s">
        <v>507</v>
      </c>
      <c r="R27" s="217" t="s">
        <v>508</v>
      </c>
      <c r="S27" s="275">
        <v>44410</v>
      </c>
      <c r="T27" s="226"/>
      <c r="U27" s="272">
        <v>20</v>
      </c>
      <c r="V27" s="275">
        <f>S27+U27</f>
        <v>44430</v>
      </c>
      <c r="W27" s="217"/>
    </row>
    <row r="28" spans="1:23" s="201" customFormat="1" ht="21" x14ac:dyDescent="0.25">
      <c r="A28" s="217" t="s">
        <v>484</v>
      </c>
      <c r="B28" s="250">
        <v>840104</v>
      </c>
      <c r="C28" s="276" t="s">
        <v>490</v>
      </c>
      <c r="D28" s="220" t="s">
        <v>416</v>
      </c>
      <c r="E28" s="220" t="s">
        <v>504</v>
      </c>
      <c r="F28" s="265" t="s">
        <v>66</v>
      </c>
      <c r="G28" s="220" t="s">
        <v>7</v>
      </c>
      <c r="H28" s="221">
        <v>800</v>
      </c>
      <c r="I28" s="221">
        <v>800</v>
      </c>
      <c r="J28" s="206">
        <f>I28*0.12</f>
        <v>96</v>
      </c>
      <c r="K28" s="222">
        <f>I28+J28</f>
        <v>896</v>
      </c>
      <c r="L28" s="223">
        <f>H28-I28</f>
        <v>0</v>
      </c>
      <c r="M28" s="310">
        <f>L28/H28</f>
        <v>0</v>
      </c>
      <c r="N28" s="224">
        <v>44420</v>
      </c>
      <c r="O28" s="225">
        <v>44420</v>
      </c>
      <c r="P28" s="217"/>
      <c r="Q28" s="217" t="s">
        <v>509</v>
      </c>
      <c r="R28" s="217" t="s">
        <v>508</v>
      </c>
      <c r="S28" s="275">
        <v>44420</v>
      </c>
      <c r="T28" s="226"/>
      <c r="U28" s="272">
        <v>5</v>
      </c>
      <c r="V28" s="275">
        <f>S28+U28</f>
        <v>44425</v>
      </c>
      <c r="W28" s="217"/>
    </row>
    <row r="29" spans="1:23" s="201" customFormat="1" ht="42" x14ac:dyDescent="0.25">
      <c r="A29" s="217" t="s">
        <v>484</v>
      </c>
      <c r="B29" s="250">
        <v>530405</v>
      </c>
      <c r="C29" s="276" t="s">
        <v>491</v>
      </c>
      <c r="D29" s="220" t="s">
        <v>416</v>
      </c>
      <c r="E29" s="220" t="s">
        <v>505</v>
      </c>
      <c r="F29" s="265" t="s">
        <v>66</v>
      </c>
      <c r="G29" s="220" t="s">
        <v>7</v>
      </c>
      <c r="H29" s="221">
        <v>6290</v>
      </c>
      <c r="I29" s="221">
        <v>6290</v>
      </c>
      <c r="J29" s="206">
        <f>I29*0.12</f>
        <v>754.8</v>
      </c>
      <c r="K29" s="222">
        <f>I29+J29</f>
        <v>7044.8</v>
      </c>
      <c r="L29" s="223">
        <f>H29-I29</f>
        <v>0</v>
      </c>
      <c r="M29" s="310">
        <f>L29/H29</f>
        <v>0</v>
      </c>
      <c r="N29" s="224">
        <v>44445</v>
      </c>
      <c r="O29" s="225">
        <v>44445</v>
      </c>
      <c r="P29" s="217"/>
      <c r="Q29" s="217" t="s">
        <v>500</v>
      </c>
      <c r="R29" s="217" t="s">
        <v>510</v>
      </c>
      <c r="S29" s="275">
        <v>44446</v>
      </c>
      <c r="T29" s="226"/>
      <c r="U29" s="272">
        <v>10</v>
      </c>
      <c r="V29" s="275">
        <f>S29+U29</f>
        <v>44456</v>
      </c>
      <c r="W29" s="217"/>
    </row>
    <row r="30" spans="1:23" s="201" customFormat="1" ht="31.5" x14ac:dyDescent="0.25">
      <c r="A30" s="217" t="s">
        <v>484</v>
      </c>
      <c r="B30" s="250">
        <v>530811</v>
      </c>
      <c r="C30" s="276" t="s">
        <v>492</v>
      </c>
      <c r="D30" s="220" t="s">
        <v>416</v>
      </c>
      <c r="E30" s="220" t="s">
        <v>511</v>
      </c>
      <c r="F30" s="265" t="s">
        <v>66</v>
      </c>
      <c r="G30" s="220" t="s">
        <v>7</v>
      </c>
      <c r="H30" s="221">
        <v>6400</v>
      </c>
      <c r="I30" s="221">
        <v>6400</v>
      </c>
      <c r="J30" s="206">
        <f>I30*0.12</f>
        <v>768</v>
      </c>
      <c r="K30" s="222">
        <f>I30+J30</f>
        <v>7168</v>
      </c>
      <c r="L30" s="223">
        <f>H30-I30</f>
        <v>0</v>
      </c>
      <c r="M30" s="310">
        <f>L30/H30</f>
        <v>0</v>
      </c>
      <c r="N30" s="224">
        <v>44460</v>
      </c>
      <c r="O30" s="225">
        <v>44461</v>
      </c>
      <c r="P30" s="217"/>
      <c r="Q30" s="217" t="s">
        <v>509</v>
      </c>
      <c r="R30" s="217" t="s">
        <v>512</v>
      </c>
      <c r="S30" s="275">
        <v>44461</v>
      </c>
      <c r="T30" s="226"/>
      <c r="U30" s="272">
        <v>5</v>
      </c>
      <c r="V30" s="275">
        <f>S30+U30</f>
        <v>44466</v>
      </c>
      <c r="W30" s="217"/>
    </row>
    <row r="31" spans="1:23" s="201" customFormat="1" ht="42" x14ac:dyDescent="0.25">
      <c r="A31" s="217" t="s">
        <v>484</v>
      </c>
      <c r="B31" s="250">
        <v>530404</v>
      </c>
      <c r="C31" s="276" t="s">
        <v>493</v>
      </c>
      <c r="D31" s="220" t="s">
        <v>416</v>
      </c>
      <c r="E31" s="220" t="s">
        <v>513</v>
      </c>
      <c r="F31" s="265" t="s">
        <v>66</v>
      </c>
      <c r="G31" s="220" t="s">
        <v>7</v>
      </c>
      <c r="H31" s="221">
        <v>5400</v>
      </c>
      <c r="I31" s="221">
        <v>5400</v>
      </c>
      <c r="J31" s="206">
        <f>I31*0.12</f>
        <v>648</v>
      </c>
      <c r="K31" s="222">
        <f>I31+J31</f>
        <v>6048</v>
      </c>
      <c r="L31" s="223">
        <f>H31-I31</f>
        <v>0</v>
      </c>
      <c r="M31" s="310">
        <f>L31/H31</f>
        <v>0</v>
      </c>
      <c r="N31" s="224">
        <v>44497</v>
      </c>
      <c r="O31" s="225">
        <v>44497</v>
      </c>
      <c r="P31" s="217"/>
      <c r="Q31" s="217" t="s">
        <v>500</v>
      </c>
      <c r="R31" s="217" t="s">
        <v>514</v>
      </c>
      <c r="S31" s="275">
        <v>44497</v>
      </c>
      <c r="T31" s="226"/>
      <c r="U31" s="272">
        <v>10</v>
      </c>
      <c r="V31" s="275">
        <f>S31+U31</f>
        <v>44507</v>
      </c>
      <c r="W31" s="217"/>
    </row>
    <row r="32" spans="1:23" s="201" customFormat="1" ht="21" x14ac:dyDescent="0.25">
      <c r="A32" s="217" t="s">
        <v>484</v>
      </c>
      <c r="B32" s="250">
        <v>530813</v>
      </c>
      <c r="C32" s="276" t="s">
        <v>516</v>
      </c>
      <c r="D32" s="220" t="s">
        <v>416</v>
      </c>
      <c r="E32" s="220" t="s">
        <v>515</v>
      </c>
      <c r="F32" s="265" t="s">
        <v>66</v>
      </c>
      <c r="G32" s="220" t="s">
        <v>7</v>
      </c>
      <c r="H32" s="221">
        <v>6408.67</v>
      </c>
      <c r="I32" s="221">
        <v>6408.67</v>
      </c>
      <c r="J32" s="206">
        <f>I32*0.12</f>
        <v>769.04039999999998</v>
      </c>
      <c r="K32" s="222">
        <f>I32+J32</f>
        <v>7177.7103999999999</v>
      </c>
      <c r="L32" s="223">
        <f>H32-I32</f>
        <v>0</v>
      </c>
      <c r="M32" s="310">
        <f>L32/H32</f>
        <v>0</v>
      </c>
      <c r="N32" s="224">
        <v>44510</v>
      </c>
      <c r="O32" s="225">
        <v>44510</v>
      </c>
      <c r="P32" s="217"/>
      <c r="Q32" s="217" t="s">
        <v>519</v>
      </c>
      <c r="R32" s="217" t="s">
        <v>510</v>
      </c>
      <c r="S32" s="275">
        <v>44875</v>
      </c>
      <c r="T32" s="226"/>
      <c r="U32" s="272">
        <v>5</v>
      </c>
      <c r="V32" s="275">
        <f>S32+U32</f>
        <v>44880</v>
      </c>
      <c r="W32" s="217"/>
    </row>
    <row r="33" spans="1:23" s="201" customFormat="1" ht="31.5" x14ac:dyDescent="0.25">
      <c r="A33" s="217" t="s">
        <v>484</v>
      </c>
      <c r="B33" s="250">
        <v>530405</v>
      </c>
      <c r="C33" s="276" t="s">
        <v>517</v>
      </c>
      <c r="D33" s="220" t="s">
        <v>416</v>
      </c>
      <c r="E33" s="220" t="s">
        <v>520</v>
      </c>
      <c r="F33" s="265" t="s">
        <v>66</v>
      </c>
      <c r="G33" s="220" t="s">
        <v>7</v>
      </c>
      <c r="H33" s="221">
        <v>4800</v>
      </c>
      <c r="I33" s="221">
        <v>4800</v>
      </c>
      <c r="J33" s="206">
        <f>I33*0.12</f>
        <v>576</v>
      </c>
      <c r="K33" s="222">
        <f>I33+J33</f>
        <v>5376</v>
      </c>
      <c r="L33" s="223">
        <f>H33-I33</f>
        <v>0</v>
      </c>
      <c r="M33" s="310">
        <f>L33/H33</f>
        <v>0</v>
      </c>
      <c r="N33" s="224">
        <v>44545</v>
      </c>
      <c r="O33" s="225">
        <v>44545</v>
      </c>
      <c r="P33" s="217"/>
      <c r="Q33" s="217" t="s">
        <v>521</v>
      </c>
      <c r="R33" s="217" t="s">
        <v>528</v>
      </c>
      <c r="S33" s="275">
        <v>44545</v>
      </c>
      <c r="T33" s="226"/>
      <c r="U33" s="272">
        <v>5</v>
      </c>
      <c r="V33" s="275">
        <f>S33+U33</f>
        <v>44550</v>
      </c>
      <c r="W33" s="217"/>
    </row>
    <row r="34" spans="1:23" s="201" customFormat="1" ht="31.5" x14ac:dyDescent="0.25">
      <c r="A34" s="217" t="s">
        <v>484</v>
      </c>
      <c r="B34" s="250">
        <v>530813</v>
      </c>
      <c r="C34" s="276" t="s">
        <v>518</v>
      </c>
      <c r="D34" s="220" t="s">
        <v>416</v>
      </c>
      <c r="E34" s="220" t="s">
        <v>526</v>
      </c>
      <c r="F34" s="265" t="s">
        <v>66</v>
      </c>
      <c r="G34" s="220" t="s">
        <v>7</v>
      </c>
      <c r="H34" s="221">
        <v>6416</v>
      </c>
      <c r="I34" s="221">
        <v>6416</v>
      </c>
      <c r="J34" s="206">
        <f>I34*0.12</f>
        <v>769.92</v>
      </c>
      <c r="K34" s="222">
        <f>I34+J34</f>
        <v>7185.92</v>
      </c>
      <c r="L34" s="223">
        <f>H34-I34</f>
        <v>0</v>
      </c>
      <c r="M34" s="310">
        <f>L34/H34</f>
        <v>0</v>
      </c>
      <c r="N34" s="224">
        <v>44545</v>
      </c>
      <c r="O34" s="225">
        <v>44545</v>
      </c>
      <c r="P34" s="217"/>
      <c r="Q34" s="217" t="s">
        <v>521</v>
      </c>
      <c r="R34" s="217" t="s">
        <v>527</v>
      </c>
      <c r="S34" s="275">
        <v>44545</v>
      </c>
      <c r="T34" s="226"/>
      <c r="U34" s="272">
        <v>3</v>
      </c>
      <c r="V34" s="275">
        <f>S34+U34</f>
        <v>44548</v>
      </c>
      <c r="W34" s="217"/>
    </row>
    <row r="35" spans="1:23" s="201" customFormat="1" ht="31.5" x14ac:dyDescent="0.25">
      <c r="A35" s="217" t="s">
        <v>484</v>
      </c>
      <c r="B35" s="250">
        <v>530813</v>
      </c>
      <c r="C35" s="276" t="s">
        <v>522</v>
      </c>
      <c r="D35" s="220" t="s">
        <v>416</v>
      </c>
      <c r="E35" s="220" t="s">
        <v>529</v>
      </c>
      <c r="F35" s="265" t="s">
        <v>66</v>
      </c>
      <c r="G35" s="220" t="s">
        <v>7</v>
      </c>
      <c r="H35" s="221">
        <v>6416</v>
      </c>
      <c r="I35" s="221">
        <v>6416</v>
      </c>
      <c r="J35" s="206">
        <f>I35*0.12</f>
        <v>769.92</v>
      </c>
      <c r="K35" s="222">
        <f>I35+J35</f>
        <v>7185.92</v>
      </c>
      <c r="L35" s="223">
        <f>H35-I35</f>
        <v>0</v>
      </c>
      <c r="M35" s="310">
        <f>L35/H35</f>
        <v>0</v>
      </c>
      <c r="N35" s="224">
        <v>44545</v>
      </c>
      <c r="O35" s="225">
        <v>44545</v>
      </c>
      <c r="P35" s="217"/>
      <c r="Q35" s="217" t="s">
        <v>521</v>
      </c>
      <c r="R35" s="217" t="s">
        <v>527</v>
      </c>
      <c r="S35" s="275">
        <v>44545</v>
      </c>
      <c r="T35" s="226"/>
      <c r="U35" s="272">
        <v>3</v>
      </c>
      <c r="V35" s="275">
        <f>S35+U35</f>
        <v>44548</v>
      </c>
      <c r="W35" s="217"/>
    </row>
    <row r="36" spans="1:23" s="201" customFormat="1" ht="31.5" x14ac:dyDescent="0.25">
      <c r="A36" s="217" t="s">
        <v>484</v>
      </c>
      <c r="B36" s="250">
        <v>530704</v>
      </c>
      <c r="C36" s="276" t="s">
        <v>523</v>
      </c>
      <c r="D36" s="220" t="s">
        <v>416</v>
      </c>
      <c r="E36" s="220" t="s">
        <v>530</v>
      </c>
      <c r="F36" s="265" t="s">
        <v>66</v>
      </c>
      <c r="G36" s="220" t="s">
        <v>7</v>
      </c>
      <c r="H36" s="221">
        <v>6416</v>
      </c>
      <c r="I36" s="221">
        <v>6416</v>
      </c>
      <c r="J36" s="206">
        <f>I36*0.12</f>
        <v>769.92</v>
      </c>
      <c r="K36" s="222">
        <f>I36+J36</f>
        <v>7185.92</v>
      </c>
      <c r="L36" s="223">
        <f>H36-I36</f>
        <v>0</v>
      </c>
      <c r="M36" s="310">
        <f>L36/H36</f>
        <v>0</v>
      </c>
      <c r="N36" s="224">
        <v>44545</v>
      </c>
      <c r="O36" s="225">
        <v>44545</v>
      </c>
      <c r="P36" s="217"/>
      <c r="Q36" s="217" t="s">
        <v>521</v>
      </c>
      <c r="R36" s="217" t="s">
        <v>532</v>
      </c>
      <c r="S36" s="275">
        <v>44910</v>
      </c>
      <c r="T36" s="226"/>
      <c r="U36" s="272">
        <v>8</v>
      </c>
      <c r="V36" s="275">
        <f>S36+U36</f>
        <v>44918</v>
      </c>
      <c r="W36" s="217"/>
    </row>
    <row r="37" spans="1:23" s="201" customFormat="1" ht="42" x14ac:dyDescent="0.25">
      <c r="A37" s="217" t="s">
        <v>484</v>
      </c>
      <c r="B37" s="250">
        <v>530204</v>
      </c>
      <c r="C37" s="276" t="s">
        <v>524</v>
      </c>
      <c r="D37" s="220" t="s">
        <v>416</v>
      </c>
      <c r="E37" s="220" t="s">
        <v>531</v>
      </c>
      <c r="F37" s="265" t="s">
        <v>66</v>
      </c>
      <c r="G37" s="220" t="s">
        <v>7</v>
      </c>
      <c r="H37" s="221">
        <v>6412.5</v>
      </c>
      <c r="I37" s="221">
        <v>6412.5</v>
      </c>
      <c r="J37" s="206">
        <f>I37*0.12</f>
        <v>769.5</v>
      </c>
      <c r="K37" s="222">
        <f>I37+J37</f>
        <v>7182</v>
      </c>
      <c r="L37" s="223">
        <f>H37-I37</f>
        <v>0</v>
      </c>
      <c r="M37" s="310">
        <f>L37/H37</f>
        <v>0</v>
      </c>
      <c r="N37" s="224">
        <v>44540</v>
      </c>
      <c r="O37" s="225">
        <v>44540</v>
      </c>
      <c r="P37" s="217"/>
      <c r="Q37" s="217" t="s">
        <v>519</v>
      </c>
      <c r="R37" s="217" t="s">
        <v>533</v>
      </c>
      <c r="S37" s="275">
        <v>44543</v>
      </c>
      <c r="T37" s="226"/>
      <c r="U37" s="272">
        <v>5</v>
      </c>
      <c r="V37" s="275">
        <f>S37+U37</f>
        <v>44548</v>
      </c>
      <c r="W37" s="217"/>
    </row>
    <row r="38" spans="1:23" s="201" customFormat="1" ht="42" x14ac:dyDescent="0.25">
      <c r="A38" s="217" t="s">
        <v>484</v>
      </c>
      <c r="B38" s="250">
        <v>530811</v>
      </c>
      <c r="C38" s="276" t="s">
        <v>525</v>
      </c>
      <c r="D38" s="220" t="s">
        <v>416</v>
      </c>
      <c r="E38" s="220" t="s">
        <v>534</v>
      </c>
      <c r="F38" s="265" t="s">
        <v>66</v>
      </c>
      <c r="G38" s="220" t="s">
        <v>7</v>
      </c>
      <c r="H38" s="221">
        <v>6416</v>
      </c>
      <c r="I38" s="221">
        <v>6416</v>
      </c>
      <c r="J38" s="206">
        <f>I38*0.12</f>
        <v>769.92</v>
      </c>
      <c r="K38" s="222">
        <f>I38+J38</f>
        <v>7185.92</v>
      </c>
      <c r="L38" s="223">
        <f>H38-I38</f>
        <v>0</v>
      </c>
      <c r="M38" s="310">
        <f>L38/H38</f>
        <v>0</v>
      </c>
      <c r="N38" s="224">
        <v>44546</v>
      </c>
      <c r="O38" s="225">
        <v>44546</v>
      </c>
      <c r="P38" s="217"/>
      <c r="Q38" s="217" t="s">
        <v>521</v>
      </c>
      <c r="R38" s="217" t="s">
        <v>535</v>
      </c>
      <c r="S38" s="275">
        <v>44546</v>
      </c>
      <c r="T38" s="226"/>
      <c r="U38" s="272">
        <v>3</v>
      </c>
      <c r="V38" s="275">
        <f>S38+U38</f>
        <v>44549</v>
      </c>
      <c r="W38" s="217"/>
    </row>
    <row r="39" spans="1:23" s="201" customFormat="1" ht="42" x14ac:dyDescent="0.25">
      <c r="A39" s="217" t="s">
        <v>484</v>
      </c>
      <c r="B39" s="250">
        <v>530804</v>
      </c>
      <c r="C39" s="276" t="s">
        <v>537</v>
      </c>
      <c r="D39" s="220" t="s">
        <v>416</v>
      </c>
      <c r="E39" s="220" t="s">
        <v>538</v>
      </c>
      <c r="F39" s="265" t="s">
        <v>66</v>
      </c>
      <c r="G39" s="220" t="s">
        <v>7</v>
      </c>
      <c r="H39" s="221">
        <v>1366.02</v>
      </c>
      <c r="I39" s="221">
        <v>1366.02</v>
      </c>
      <c r="J39" s="206">
        <f>I39*0.12</f>
        <v>163.92239999999998</v>
      </c>
      <c r="K39" s="222">
        <f>I39+J39</f>
        <v>1529.9423999999999</v>
      </c>
      <c r="L39" s="223">
        <f>H39-I39</f>
        <v>0</v>
      </c>
      <c r="M39" s="310">
        <f>L39/H39</f>
        <v>0</v>
      </c>
      <c r="N39" s="224">
        <v>44546</v>
      </c>
      <c r="O39" s="225">
        <v>44546</v>
      </c>
      <c r="P39" s="217"/>
      <c r="Q39" s="217" t="s">
        <v>521</v>
      </c>
      <c r="R39" s="217" t="s">
        <v>539</v>
      </c>
      <c r="S39" s="275">
        <v>44546</v>
      </c>
      <c r="T39" s="226"/>
      <c r="U39" s="272">
        <v>3</v>
      </c>
      <c r="V39" s="275">
        <f>S39+U39</f>
        <v>44549</v>
      </c>
      <c r="W39" s="217"/>
    </row>
    <row r="40" spans="1:23" s="201" customFormat="1" ht="31.5" x14ac:dyDescent="0.25">
      <c r="A40" s="217" t="s">
        <v>484</v>
      </c>
      <c r="B40" s="250">
        <v>530803</v>
      </c>
      <c r="C40" s="276" t="s">
        <v>536</v>
      </c>
      <c r="D40" s="220" t="s">
        <v>416</v>
      </c>
      <c r="E40" s="220" t="s">
        <v>540</v>
      </c>
      <c r="F40" s="265" t="s">
        <v>66</v>
      </c>
      <c r="G40" s="220" t="s">
        <v>7</v>
      </c>
      <c r="H40" s="221">
        <v>2532.6</v>
      </c>
      <c r="I40" s="221">
        <v>2532.6</v>
      </c>
      <c r="J40" s="206">
        <f>I40*0.12</f>
        <v>303.91199999999998</v>
      </c>
      <c r="K40" s="222">
        <f>I40+J40</f>
        <v>2836.5119999999997</v>
      </c>
      <c r="L40" s="223">
        <f>H40-I40</f>
        <v>0</v>
      </c>
      <c r="M40" s="310">
        <f>L40/H40</f>
        <v>0</v>
      </c>
      <c r="N40" s="224">
        <v>44546</v>
      </c>
      <c r="O40" s="225">
        <v>44546</v>
      </c>
      <c r="P40" s="217"/>
      <c r="Q40" s="217" t="s">
        <v>521</v>
      </c>
      <c r="R40" s="217" t="s">
        <v>508</v>
      </c>
      <c r="S40" s="275">
        <v>44546</v>
      </c>
      <c r="T40" s="226"/>
      <c r="U40" s="272">
        <v>3</v>
      </c>
      <c r="V40" s="275">
        <f>S40+U40</f>
        <v>44549</v>
      </c>
      <c r="W40" s="217"/>
    </row>
    <row r="41" spans="1:23" s="201" customFormat="1" ht="31.5" x14ac:dyDescent="0.25">
      <c r="A41" s="217" t="s">
        <v>47</v>
      </c>
      <c r="B41" s="218"/>
      <c r="C41" s="219" t="s">
        <v>422</v>
      </c>
      <c r="D41" s="220" t="s">
        <v>416</v>
      </c>
      <c r="E41" s="220" t="s">
        <v>423</v>
      </c>
      <c r="F41" s="265" t="s">
        <v>66</v>
      </c>
      <c r="G41" s="220" t="s">
        <v>7</v>
      </c>
      <c r="H41" s="221">
        <v>68573.600000000006</v>
      </c>
      <c r="I41" s="221">
        <v>67780</v>
      </c>
      <c r="J41" s="206">
        <f>I41*0.12</f>
        <v>8133.5999999999995</v>
      </c>
      <c r="K41" s="222">
        <f>I41+J41</f>
        <v>75913.600000000006</v>
      </c>
      <c r="L41" s="223">
        <f>H41-I41</f>
        <v>793.60000000000582</v>
      </c>
      <c r="M41" s="310">
        <f>L41/H41</f>
        <v>1.1572966856049643E-2</v>
      </c>
      <c r="N41" s="224">
        <v>44313.645833333336</v>
      </c>
      <c r="O41" s="225">
        <v>44344</v>
      </c>
      <c r="P41" s="217"/>
      <c r="Q41" s="217" t="s">
        <v>460</v>
      </c>
      <c r="R41" s="217" t="s">
        <v>459</v>
      </c>
      <c r="S41" s="275">
        <v>44349</v>
      </c>
      <c r="T41" s="226"/>
      <c r="U41" s="272">
        <v>30</v>
      </c>
      <c r="V41" s="272"/>
      <c r="W41" s="217"/>
    </row>
    <row r="42" spans="1:23" s="201" customFormat="1" ht="21" x14ac:dyDescent="0.25">
      <c r="A42" s="217" t="s">
        <v>47</v>
      </c>
      <c r="B42" s="218"/>
      <c r="C42" s="219" t="s">
        <v>424</v>
      </c>
      <c r="D42" s="220" t="s">
        <v>416</v>
      </c>
      <c r="E42" s="220" t="s">
        <v>425</v>
      </c>
      <c r="F42" s="265" t="s">
        <v>66</v>
      </c>
      <c r="G42" s="220" t="s">
        <v>7</v>
      </c>
      <c r="H42" s="221">
        <v>147015</v>
      </c>
      <c r="I42" s="221">
        <v>145325</v>
      </c>
      <c r="J42" s="206">
        <f t="shared" ref="J42:J56" si="1">I42*0.12</f>
        <v>17439</v>
      </c>
      <c r="K42" s="222">
        <f t="shared" ref="K42:K49" si="2">I42+J42</f>
        <v>162764</v>
      </c>
      <c r="L42" s="223">
        <f t="shared" ref="L42:L49" si="3">H42-I42</f>
        <v>1690</v>
      </c>
      <c r="M42" s="310">
        <f t="shared" ref="M42:M49" si="4">L42/H42</f>
        <v>1.1495425636839779E-2</v>
      </c>
      <c r="N42" s="224">
        <v>44312.645833333336</v>
      </c>
      <c r="O42" s="225">
        <v>44341</v>
      </c>
      <c r="P42" s="217"/>
      <c r="Q42" s="217" t="s">
        <v>461</v>
      </c>
      <c r="R42" s="217" t="s">
        <v>462</v>
      </c>
      <c r="S42" s="275">
        <v>44348</v>
      </c>
      <c r="T42" s="226"/>
      <c r="U42" s="272">
        <v>25</v>
      </c>
      <c r="V42" s="272"/>
      <c r="W42" s="217"/>
    </row>
    <row r="43" spans="1:23" s="201" customFormat="1" ht="21" x14ac:dyDescent="0.25">
      <c r="A43" s="217" t="s">
        <v>47</v>
      </c>
      <c r="B43" s="218"/>
      <c r="C43" s="219" t="s">
        <v>426</v>
      </c>
      <c r="D43" s="220" t="s">
        <v>416</v>
      </c>
      <c r="E43" s="220" t="s">
        <v>427</v>
      </c>
      <c r="F43" s="265" t="s">
        <v>66</v>
      </c>
      <c r="G43" s="220" t="s">
        <v>7</v>
      </c>
      <c r="H43" s="221">
        <v>247085.97</v>
      </c>
      <c r="I43" s="221">
        <v>240000</v>
      </c>
      <c r="J43" s="206">
        <f t="shared" si="1"/>
        <v>28800</v>
      </c>
      <c r="K43" s="222">
        <f t="shared" si="2"/>
        <v>268800</v>
      </c>
      <c r="L43" s="223">
        <f t="shared" si="3"/>
        <v>7085.9700000000012</v>
      </c>
      <c r="M43" s="310">
        <f t="shared" si="4"/>
        <v>2.8678156028041579E-2</v>
      </c>
      <c r="N43" s="224">
        <v>44301.645833333336</v>
      </c>
      <c r="O43" s="225">
        <v>44344</v>
      </c>
      <c r="P43" s="217"/>
      <c r="Q43" s="217" t="s">
        <v>463</v>
      </c>
      <c r="R43" s="217" t="s">
        <v>464</v>
      </c>
      <c r="S43" s="275">
        <v>44347</v>
      </c>
      <c r="T43" s="226"/>
      <c r="U43" s="272">
        <v>30</v>
      </c>
      <c r="V43" s="272"/>
      <c r="W43" s="217"/>
    </row>
    <row r="44" spans="1:23" s="201" customFormat="1" ht="31.5" x14ac:dyDescent="0.25">
      <c r="A44" s="217" t="s">
        <v>47</v>
      </c>
      <c r="B44" s="218"/>
      <c r="C44" s="219" t="s">
        <v>428</v>
      </c>
      <c r="D44" s="220" t="s">
        <v>416</v>
      </c>
      <c r="E44" s="220" t="s">
        <v>429</v>
      </c>
      <c r="F44" s="265" t="s">
        <v>66</v>
      </c>
      <c r="G44" s="220" t="s">
        <v>7</v>
      </c>
      <c r="H44" s="221">
        <v>204690.63</v>
      </c>
      <c r="I44" s="221">
        <v>201400</v>
      </c>
      <c r="J44" s="206">
        <f t="shared" si="1"/>
        <v>24168</v>
      </c>
      <c r="K44" s="222">
        <f t="shared" si="2"/>
        <v>225568</v>
      </c>
      <c r="L44" s="223">
        <f t="shared" si="3"/>
        <v>3290.6300000000047</v>
      </c>
      <c r="M44" s="310">
        <f t="shared" si="4"/>
        <v>1.6076114475782329E-2</v>
      </c>
      <c r="N44" s="224">
        <v>44301.729166666664</v>
      </c>
      <c r="O44" s="225">
        <v>44344</v>
      </c>
      <c r="P44" s="217"/>
      <c r="Q44" s="217" t="s">
        <v>465</v>
      </c>
      <c r="R44" s="217" t="s">
        <v>466</v>
      </c>
      <c r="S44" s="275">
        <v>44349</v>
      </c>
      <c r="T44" s="226"/>
      <c r="U44" s="272">
        <v>21</v>
      </c>
      <c r="V44" s="272"/>
      <c r="W44" s="217"/>
    </row>
    <row r="45" spans="1:23" s="201" customFormat="1" ht="21" x14ac:dyDescent="0.25">
      <c r="A45" s="217" t="s">
        <v>47</v>
      </c>
      <c r="B45" s="218"/>
      <c r="C45" s="219" t="s">
        <v>430</v>
      </c>
      <c r="D45" s="220" t="s">
        <v>416</v>
      </c>
      <c r="E45" s="220" t="s">
        <v>431</v>
      </c>
      <c r="F45" s="265" t="s">
        <v>66</v>
      </c>
      <c r="G45" s="220" t="s">
        <v>7</v>
      </c>
      <c r="H45" s="221">
        <v>279523.19</v>
      </c>
      <c r="I45" s="221">
        <v>273500</v>
      </c>
      <c r="J45" s="206">
        <f t="shared" si="1"/>
        <v>32820</v>
      </c>
      <c r="K45" s="222">
        <f t="shared" si="2"/>
        <v>306320</v>
      </c>
      <c r="L45" s="223">
        <f t="shared" si="3"/>
        <v>6023.1900000000023</v>
      </c>
      <c r="M45" s="310">
        <f t="shared" si="4"/>
        <v>2.1548086940478901E-2</v>
      </c>
      <c r="N45" s="224">
        <v>44301.6875</v>
      </c>
      <c r="O45" s="225">
        <v>44344</v>
      </c>
      <c r="P45" s="217"/>
      <c r="Q45" s="217" t="s">
        <v>468</v>
      </c>
      <c r="R45" s="217" t="s">
        <v>469</v>
      </c>
      <c r="S45" s="275">
        <v>44348</v>
      </c>
      <c r="T45" s="226"/>
      <c r="U45" s="272">
        <v>30</v>
      </c>
      <c r="V45" s="272"/>
      <c r="W45" s="217"/>
    </row>
    <row r="46" spans="1:23" s="201" customFormat="1" ht="32.25" hidden="1" customHeight="1" x14ac:dyDescent="0.25">
      <c r="A46" s="209" t="s">
        <v>458</v>
      </c>
      <c r="B46" s="210"/>
      <c r="C46" s="211" t="s">
        <v>434</v>
      </c>
      <c r="D46" s="212" t="s">
        <v>416</v>
      </c>
      <c r="E46" s="212" t="s">
        <v>435</v>
      </c>
      <c r="F46" s="264" t="s">
        <v>436</v>
      </c>
      <c r="G46" s="212" t="s">
        <v>7</v>
      </c>
      <c r="H46" s="227">
        <v>26785.71</v>
      </c>
      <c r="I46" s="227"/>
      <c r="J46" s="207">
        <f t="shared" si="1"/>
        <v>0</v>
      </c>
      <c r="K46" s="214">
        <f t="shared" si="2"/>
        <v>0</v>
      </c>
      <c r="L46" s="228">
        <f t="shared" si="3"/>
        <v>26785.71</v>
      </c>
      <c r="M46" s="229">
        <f t="shared" si="4"/>
        <v>1</v>
      </c>
      <c r="N46" s="213">
        <v>44454.833333333336</v>
      </c>
      <c r="O46" s="209"/>
      <c r="P46" s="209"/>
      <c r="Q46" s="209"/>
      <c r="R46" s="209"/>
      <c r="S46" s="271"/>
      <c r="T46" s="216"/>
      <c r="U46" s="271"/>
      <c r="V46" s="271"/>
      <c r="W46" s="209"/>
    </row>
    <row r="47" spans="1:23" s="201" customFormat="1" ht="42" x14ac:dyDescent="0.25">
      <c r="A47" s="217" t="s">
        <v>47</v>
      </c>
      <c r="B47" s="218"/>
      <c r="C47" s="219" t="s">
        <v>437</v>
      </c>
      <c r="D47" s="220" t="s">
        <v>416</v>
      </c>
      <c r="E47" s="220" t="s">
        <v>438</v>
      </c>
      <c r="F47" s="265" t="s">
        <v>66</v>
      </c>
      <c r="G47" s="220" t="s">
        <v>7</v>
      </c>
      <c r="H47" s="221">
        <v>117245.27</v>
      </c>
      <c r="I47" s="221">
        <v>111148.52</v>
      </c>
      <c r="J47" s="206">
        <f t="shared" si="1"/>
        <v>13337.822399999999</v>
      </c>
      <c r="K47" s="222">
        <f t="shared" si="2"/>
        <v>124486.34240000001</v>
      </c>
      <c r="L47" s="223">
        <f t="shared" si="3"/>
        <v>6096.75</v>
      </c>
      <c r="M47" s="310">
        <f t="shared" si="4"/>
        <v>5.1999965542319955E-2</v>
      </c>
      <c r="N47" s="224">
        <v>44410.833333333336</v>
      </c>
      <c r="O47" s="225">
        <v>44460</v>
      </c>
      <c r="P47" s="217"/>
      <c r="Q47" s="217" t="s">
        <v>471</v>
      </c>
      <c r="R47" s="217" t="s">
        <v>469</v>
      </c>
      <c r="S47" s="275">
        <v>44461</v>
      </c>
      <c r="T47" s="226"/>
      <c r="U47" s="272">
        <v>45</v>
      </c>
      <c r="V47" s="272"/>
      <c r="W47" s="217"/>
    </row>
    <row r="48" spans="1:23" s="201" customFormat="1" ht="21" x14ac:dyDescent="0.25">
      <c r="A48" s="217" t="s">
        <v>47</v>
      </c>
      <c r="B48" s="218"/>
      <c r="C48" s="219" t="s">
        <v>439</v>
      </c>
      <c r="D48" s="220" t="s">
        <v>416</v>
      </c>
      <c r="E48" s="220" t="s">
        <v>440</v>
      </c>
      <c r="F48" s="265" t="s">
        <v>66</v>
      </c>
      <c r="G48" s="220" t="s">
        <v>7</v>
      </c>
      <c r="H48" s="221">
        <v>120161</v>
      </c>
      <c r="I48" s="221">
        <v>118800</v>
      </c>
      <c r="J48" s="206">
        <f t="shared" si="1"/>
        <v>14256</v>
      </c>
      <c r="K48" s="222">
        <f t="shared" si="2"/>
        <v>133056</v>
      </c>
      <c r="L48" s="223">
        <f t="shared" si="3"/>
        <v>1361</v>
      </c>
      <c r="M48" s="310">
        <f t="shared" si="4"/>
        <v>1.132647031898869E-2</v>
      </c>
      <c r="N48" s="224">
        <v>44410.833333333336</v>
      </c>
      <c r="O48" s="225">
        <v>44441</v>
      </c>
      <c r="P48" s="217"/>
      <c r="Q48" s="217" t="s">
        <v>472</v>
      </c>
      <c r="R48" s="217" t="s">
        <v>473</v>
      </c>
      <c r="S48" s="275">
        <v>44449</v>
      </c>
      <c r="T48" s="226"/>
      <c r="U48" s="272">
        <v>30</v>
      </c>
      <c r="V48" s="272"/>
      <c r="W48" s="217"/>
    </row>
    <row r="49" spans="1:23" s="201" customFormat="1" ht="31.5" x14ac:dyDescent="0.25">
      <c r="A49" s="217" t="s">
        <v>47</v>
      </c>
      <c r="B49" s="218"/>
      <c r="C49" s="219" t="s">
        <v>441</v>
      </c>
      <c r="D49" s="220" t="s">
        <v>416</v>
      </c>
      <c r="E49" s="220" t="s">
        <v>442</v>
      </c>
      <c r="F49" s="265" t="s">
        <v>66</v>
      </c>
      <c r="G49" s="220" t="s">
        <v>7</v>
      </c>
      <c r="H49" s="221">
        <v>79200</v>
      </c>
      <c r="I49" s="221">
        <v>75159.55</v>
      </c>
      <c r="J49" s="206">
        <f t="shared" si="1"/>
        <v>9019.1460000000006</v>
      </c>
      <c r="K49" s="222">
        <f t="shared" si="2"/>
        <v>84178.695999999996</v>
      </c>
      <c r="L49" s="223">
        <f t="shared" si="3"/>
        <v>4040.4499999999971</v>
      </c>
      <c r="M49" s="310">
        <f t="shared" si="4"/>
        <v>5.1015782828282792E-2</v>
      </c>
      <c r="N49" s="224">
        <v>44411.833333333336</v>
      </c>
      <c r="O49" s="225">
        <v>44441</v>
      </c>
      <c r="P49" s="217"/>
      <c r="Q49" s="217" t="s">
        <v>475</v>
      </c>
      <c r="R49" s="217" t="s">
        <v>474</v>
      </c>
      <c r="S49" s="275">
        <v>44442</v>
      </c>
      <c r="T49" s="226"/>
      <c r="U49" s="272">
        <v>30</v>
      </c>
      <c r="V49" s="272"/>
      <c r="W49" s="217"/>
    </row>
    <row r="50" spans="1:23" s="201" customFormat="1" ht="42" hidden="1" x14ac:dyDescent="0.25">
      <c r="A50" s="209" t="s">
        <v>47</v>
      </c>
      <c r="B50" s="210"/>
      <c r="C50" s="211" t="s">
        <v>443</v>
      </c>
      <c r="D50" s="212" t="s">
        <v>416</v>
      </c>
      <c r="E50" s="212" t="s">
        <v>444</v>
      </c>
      <c r="F50" s="264" t="s">
        <v>436</v>
      </c>
      <c r="G50" s="212" t="s">
        <v>7</v>
      </c>
      <c r="H50" s="212" t="s">
        <v>26</v>
      </c>
      <c r="I50" s="227"/>
      <c r="J50" s="205"/>
      <c r="K50" s="214"/>
      <c r="L50" s="215"/>
      <c r="M50" s="215"/>
      <c r="N50" s="213">
        <v>44435.541666666664</v>
      </c>
      <c r="O50" s="209"/>
      <c r="P50" s="209"/>
      <c r="Q50" s="209"/>
      <c r="R50" s="209"/>
      <c r="S50" s="271"/>
      <c r="T50" s="216"/>
      <c r="U50" s="271"/>
      <c r="V50" s="271"/>
      <c r="W50" s="209"/>
    </row>
    <row r="51" spans="1:23" s="201" customFormat="1" ht="31.5" x14ac:dyDescent="0.25">
      <c r="A51" s="217" t="s">
        <v>47</v>
      </c>
      <c r="B51" s="218"/>
      <c r="C51" s="219" t="s">
        <v>445</v>
      </c>
      <c r="D51" s="220" t="s">
        <v>416</v>
      </c>
      <c r="E51" s="220" t="s">
        <v>446</v>
      </c>
      <c r="F51" s="265" t="s">
        <v>66</v>
      </c>
      <c r="G51" s="220" t="s">
        <v>7</v>
      </c>
      <c r="H51" s="221">
        <v>17850</v>
      </c>
      <c r="I51" s="221">
        <v>17600</v>
      </c>
      <c r="J51" s="206">
        <f t="shared" si="1"/>
        <v>2112</v>
      </c>
      <c r="K51" s="222">
        <f t="shared" ref="K51:K56" si="5">I51+J51</f>
        <v>19712</v>
      </c>
      <c r="L51" s="223">
        <f t="shared" ref="L51:L56" si="6">H51-I51</f>
        <v>250</v>
      </c>
      <c r="M51" s="310">
        <f t="shared" ref="M51:M94" si="7">L51/H51</f>
        <v>1.4005602240896359E-2</v>
      </c>
      <c r="N51" s="224">
        <v>44466.833333333336</v>
      </c>
      <c r="O51" s="225">
        <v>44524</v>
      </c>
      <c r="P51" s="217"/>
      <c r="Q51" s="217" t="s">
        <v>471</v>
      </c>
      <c r="R51" s="217" t="s">
        <v>476</v>
      </c>
      <c r="S51" s="275">
        <v>44540</v>
      </c>
      <c r="T51" s="226"/>
      <c r="U51" s="272">
        <v>15</v>
      </c>
      <c r="V51" s="272"/>
      <c r="W51" s="217"/>
    </row>
    <row r="52" spans="1:23" s="201" customFormat="1" ht="21" x14ac:dyDescent="0.25">
      <c r="A52" s="217" t="s">
        <v>47</v>
      </c>
      <c r="B52" s="218"/>
      <c r="C52" s="219" t="s">
        <v>447</v>
      </c>
      <c r="D52" s="220" t="s">
        <v>416</v>
      </c>
      <c r="E52" s="220" t="s">
        <v>448</v>
      </c>
      <c r="F52" s="265" t="s">
        <v>66</v>
      </c>
      <c r="G52" s="220" t="s">
        <v>7</v>
      </c>
      <c r="H52" s="221">
        <v>26950</v>
      </c>
      <c r="I52" s="221">
        <v>26600</v>
      </c>
      <c r="J52" s="206">
        <f t="shared" si="1"/>
        <v>3192</v>
      </c>
      <c r="K52" s="222">
        <f t="shared" si="5"/>
        <v>29792</v>
      </c>
      <c r="L52" s="223">
        <f t="shared" si="6"/>
        <v>350</v>
      </c>
      <c r="M52" s="310">
        <f t="shared" si="7"/>
        <v>1.2987012987012988E-2</v>
      </c>
      <c r="N52" s="224">
        <v>44511.833333333336</v>
      </c>
      <c r="O52" s="225">
        <v>44531</v>
      </c>
      <c r="P52" s="217"/>
      <c r="Q52" s="217" t="s">
        <v>477</v>
      </c>
      <c r="R52" s="217" t="s">
        <v>478</v>
      </c>
      <c r="S52" s="275">
        <v>44532</v>
      </c>
      <c r="T52" s="226"/>
      <c r="U52" s="272">
        <v>20</v>
      </c>
      <c r="V52" s="272"/>
      <c r="W52" s="217"/>
    </row>
    <row r="53" spans="1:23" s="201" customFormat="1" ht="42" x14ac:dyDescent="0.25">
      <c r="A53" s="217" t="s">
        <v>47</v>
      </c>
      <c r="B53" s="218"/>
      <c r="C53" s="219" t="s">
        <v>449</v>
      </c>
      <c r="D53" s="220" t="s">
        <v>416</v>
      </c>
      <c r="E53" s="220" t="s">
        <v>450</v>
      </c>
      <c r="F53" s="265" t="s">
        <v>66</v>
      </c>
      <c r="G53" s="220" t="s">
        <v>7</v>
      </c>
      <c r="H53" s="221">
        <v>39736.589999999997</v>
      </c>
      <c r="I53" s="221">
        <v>37748.25</v>
      </c>
      <c r="J53" s="206">
        <f t="shared" si="1"/>
        <v>4529.79</v>
      </c>
      <c r="K53" s="222">
        <f t="shared" si="5"/>
        <v>42278.04</v>
      </c>
      <c r="L53" s="223">
        <f t="shared" si="6"/>
        <v>1988.3399999999965</v>
      </c>
      <c r="M53" s="310">
        <f t="shared" si="7"/>
        <v>5.0038012823948826E-2</v>
      </c>
      <c r="N53" s="224">
        <v>44519.541666666664</v>
      </c>
      <c r="O53" s="225">
        <v>44543</v>
      </c>
      <c r="P53" s="217"/>
      <c r="Q53" s="217" t="s">
        <v>480</v>
      </c>
      <c r="R53" s="217" t="s">
        <v>479</v>
      </c>
      <c r="S53" s="275">
        <v>44544</v>
      </c>
      <c r="T53" s="226"/>
      <c r="U53" s="272">
        <v>21</v>
      </c>
      <c r="V53" s="272"/>
      <c r="W53" s="217"/>
    </row>
    <row r="54" spans="1:23" s="201" customFormat="1" ht="21" x14ac:dyDescent="0.25">
      <c r="A54" s="217" t="s">
        <v>47</v>
      </c>
      <c r="B54" s="218"/>
      <c r="C54" s="219" t="s">
        <v>451</v>
      </c>
      <c r="D54" s="220" t="s">
        <v>416</v>
      </c>
      <c r="E54" s="220" t="s">
        <v>452</v>
      </c>
      <c r="F54" s="265" t="s">
        <v>66</v>
      </c>
      <c r="G54" s="220" t="s">
        <v>7</v>
      </c>
      <c r="H54" s="221">
        <v>99127.679999999993</v>
      </c>
      <c r="I54" s="221">
        <v>98100</v>
      </c>
      <c r="J54" s="206">
        <f t="shared" si="1"/>
        <v>11772</v>
      </c>
      <c r="K54" s="222">
        <f t="shared" si="5"/>
        <v>109872</v>
      </c>
      <c r="L54" s="223">
        <f t="shared" si="6"/>
        <v>1027.679999999993</v>
      </c>
      <c r="M54" s="310">
        <f t="shared" si="7"/>
        <v>1.0367235468438211E-2</v>
      </c>
      <c r="N54" s="224">
        <v>44512.541666666664</v>
      </c>
      <c r="O54" s="225">
        <v>44533</v>
      </c>
      <c r="P54" s="217"/>
      <c r="Q54" s="217" t="s">
        <v>482</v>
      </c>
      <c r="R54" s="217" t="s">
        <v>481</v>
      </c>
      <c r="S54" s="275">
        <v>44536</v>
      </c>
      <c r="T54" s="226"/>
      <c r="U54" s="272">
        <v>20</v>
      </c>
      <c r="V54" s="272"/>
      <c r="W54" s="217"/>
    </row>
    <row r="55" spans="1:23" s="201" customFormat="1" ht="52.5" x14ac:dyDescent="0.25">
      <c r="A55" s="217" t="s">
        <v>47</v>
      </c>
      <c r="B55" s="218"/>
      <c r="C55" s="219" t="s">
        <v>453</v>
      </c>
      <c r="D55" s="220" t="s">
        <v>416</v>
      </c>
      <c r="E55" s="220" t="s">
        <v>454</v>
      </c>
      <c r="F55" s="265" t="s">
        <v>66</v>
      </c>
      <c r="G55" s="220" t="s">
        <v>7</v>
      </c>
      <c r="H55" s="221">
        <v>38393</v>
      </c>
      <c r="I55" s="221">
        <v>37990</v>
      </c>
      <c r="J55" s="206">
        <f t="shared" si="1"/>
        <v>4558.8</v>
      </c>
      <c r="K55" s="222">
        <f t="shared" si="5"/>
        <v>42548.800000000003</v>
      </c>
      <c r="L55" s="223">
        <f t="shared" si="6"/>
        <v>403</v>
      </c>
      <c r="M55" s="310">
        <f t="shared" si="7"/>
        <v>1.0496705128539056E-2</v>
      </c>
      <c r="N55" s="224">
        <v>44512.541666666664</v>
      </c>
      <c r="O55" s="225">
        <v>44531</v>
      </c>
      <c r="P55" s="217"/>
      <c r="Q55" s="217" t="s">
        <v>483</v>
      </c>
      <c r="R55" s="217" t="s">
        <v>462</v>
      </c>
      <c r="S55" s="275">
        <v>44532</v>
      </c>
      <c r="T55" s="226"/>
      <c r="U55" s="272">
        <v>20</v>
      </c>
      <c r="V55" s="272"/>
      <c r="W55" s="217"/>
    </row>
    <row r="56" spans="1:23" s="201" customFormat="1" ht="52.5" x14ac:dyDescent="0.25">
      <c r="A56" s="230" t="s">
        <v>51</v>
      </c>
      <c r="B56" s="231"/>
      <c r="C56" s="232" t="s">
        <v>455</v>
      </c>
      <c r="D56" s="233" t="s">
        <v>416</v>
      </c>
      <c r="E56" s="233" t="s">
        <v>456</v>
      </c>
      <c r="F56" s="266" t="s">
        <v>457</v>
      </c>
      <c r="G56" s="233" t="s">
        <v>7</v>
      </c>
      <c r="H56" s="234">
        <v>434541.63</v>
      </c>
      <c r="I56" s="234">
        <v>434541.63</v>
      </c>
      <c r="J56" s="208">
        <f t="shared" si="1"/>
        <v>52144.995600000002</v>
      </c>
      <c r="K56" s="235">
        <f t="shared" si="5"/>
        <v>486686.62560000003</v>
      </c>
      <c r="L56" s="236">
        <f t="shared" si="6"/>
        <v>0</v>
      </c>
      <c r="M56" s="311">
        <f t="shared" si="7"/>
        <v>0</v>
      </c>
      <c r="N56" s="237">
        <v>44518.833333333336</v>
      </c>
      <c r="O56" s="238">
        <v>44532</v>
      </c>
      <c r="P56" s="230"/>
      <c r="Q56" s="230" t="s">
        <v>472</v>
      </c>
      <c r="R56" s="230" t="s">
        <v>120</v>
      </c>
      <c r="S56" s="273"/>
      <c r="T56" s="239"/>
      <c r="U56" s="273">
        <v>20</v>
      </c>
      <c r="V56" s="273"/>
      <c r="W56" s="230"/>
    </row>
    <row r="57" spans="1:23" s="201" customFormat="1" ht="42" x14ac:dyDescent="0.25">
      <c r="A57" s="217" t="s">
        <v>234</v>
      </c>
      <c r="B57" s="218"/>
      <c r="C57" s="219" t="s">
        <v>432</v>
      </c>
      <c r="D57" s="220" t="s">
        <v>416</v>
      </c>
      <c r="E57" s="220" t="s">
        <v>433</v>
      </c>
      <c r="F57" s="265" t="s">
        <v>66</v>
      </c>
      <c r="G57" s="220" t="s">
        <v>7</v>
      </c>
      <c r="H57" s="221">
        <v>133928.57</v>
      </c>
      <c r="I57" s="221">
        <v>133900</v>
      </c>
      <c r="J57" s="206">
        <f>I57*0.12</f>
        <v>16068</v>
      </c>
      <c r="K57" s="222">
        <f>I57+J57</f>
        <v>149968</v>
      </c>
      <c r="L57" s="223">
        <f>H57-I57</f>
        <v>28.570000000006985</v>
      </c>
      <c r="M57" s="310">
        <f>L57/H57</f>
        <v>2.1332266894216062E-4</v>
      </c>
      <c r="N57" s="224">
        <v>44512.541666666664</v>
      </c>
      <c r="O57" s="225">
        <v>44533</v>
      </c>
      <c r="P57" s="217"/>
      <c r="Q57" s="217" t="s">
        <v>470</v>
      </c>
      <c r="R57" s="217" t="s">
        <v>235</v>
      </c>
      <c r="S57" s="275">
        <v>44536</v>
      </c>
      <c r="T57" s="226"/>
      <c r="U57" s="272">
        <v>20</v>
      </c>
      <c r="V57" s="272"/>
      <c r="W57" s="217"/>
    </row>
    <row r="58" spans="1:23" s="201" customFormat="1" ht="21" x14ac:dyDescent="0.25">
      <c r="A58" s="251" t="s">
        <v>541</v>
      </c>
      <c r="B58" s="252">
        <v>530804</v>
      </c>
      <c r="C58" s="277" t="s">
        <v>542</v>
      </c>
      <c r="D58" s="253" t="s">
        <v>416</v>
      </c>
      <c r="E58" s="263" t="s">
        <v>543</v>
      </c>
      <c r="F58" s="253" t="s">
        <v>66</v>
      </c>
      <c r="G58" s="253" t="s">
        <v>7</v>
      </c>
      <c r="H58" s="270">
        <f>179.2/1.12</f>
        <v>159.99999999999997</v>
      </c>
      <c r="I58" s="270">
        <v>160</v>
      </c>
      <c r="J58" s="270">
        <f t="shared" ref="J58:J98" si="8">I58*0.12</f>
        <v>19.2</v>
      </c>
      <c r="K58" s="303">
        <f t="shared" ref="K58" si="9">I58+J58</f>
        <v>179.2</v>
      </c>
      <c r="L58" s="270">
        <f t="shared" ref="L58:L94" si="10">H58-I58</f>
        <v>0</v>
      </c>
      <c r="M58" s="254">
        <f t="shared" si="7"/>
        <v>0</v>
      </c>
      <c r="N58" s="255" t="s">
        <v>544</v>
      </c>
      <c r="O58" s="255" t="s">
        <v>545</v>
      </c>
      <c r="P58" s="256"/>
      <c r="Q58" s="256" t="s">
        <v>546</v>
      </c>
      <c r="R58" s="257" t="s">
        <v>547</v>
      </c>
      <c r="S58" s="258">
        <v>44354</v>
      </c>
      <c r="T58" s="259" t="s">
        <v>548</v>
      </c>
      <c r="U58" s="251">
        <v>20</v>
      </c>
      <c r="V58" s="260">
        <f>S58+U58</f>
        <v>44374</v>
      </c>
      <c r="W58" s="256"/>
    </row>
    <row r="59" spans="1:23" s="201" customFormat="1" ht="21" x14ac:dyDescent="0.25">
      <c r="A59" s="251" t="s">
        <v>541</v>
      </c>
      <c r="B59" s="252">
        <v>530804</v>
      </c>
      <c r="C59" s="277" t="s">
        <v>549</v>
      </c>
      <c r="D59" s="253" t="s">
        <v>416</v>
      </c>
      <c r="E59" s="263" t="s">
        <v>550</v>
      </c>
      <c r="F59" s="253" t="s">
        <v>66</v>
      </c>
      <c r="G59" s="253" t="s">
        <v>7</v>
      </c>
      <c r="H59" s="270">
        <f>360.46/1.12</f>
        <v>321.83928571428567</v>
      </c>
      <c r="I59" s="270">
        <f>360.46/1.12</f>
        <v>321.83928571428567</v>
      </c>
      <c r="J59" s="270">
        <f t="shared" si="8"/>
        <v>38.620714285714278</v>
      </c>
      <c r="K59" s="303">
        <v>360.46</v>
      </c>
      <c r="L59" s="270">
        <f t="shared" si="10"/>
        <v>0</v>
      </c>
      <c r="M59" s="254">
        <f t="shared" si="7"/>
        <v>0</v>
      </c>
      <c r="N59" s="255" t="s">
        <v>544</v>
      </c>
      <c r="O59" s="260" t="s">
        <v>545</v>
      </c>
      <c r="P59" s="256"/>
      <c r="Q59" s="256" t="s">
        <v>546</v>
      </c>
      <c r="R59" s="257" t="s">
        <v>551</v>
      </c>
      <c r="S59" s="258">
        <v>44354</v>
      </c>
      <c r="T59" s="259"/>
      <c r="U59" s="251">
        <v>20</v>
      </c>
      <c r="V59" s="260">
        <f t="shared" ref="V59:V99" si="11">S59+U59</f>
        <v>44374</v>
      </c>
      <c r="W59" s="258"/>
    </row>
    <row r="60" spans="1:23" s="201" customFormat="1" ht="22.5" x14ac:dyDescent="0.25">
      <c r="A60" s="251" t="s">
        <v>541</v>
      </c>
      <c r="B60" s="252">
        <v>530804</v>
      </c>
      <c r="C60" s="277" t="s">
        <v>552</v>
      </c>
      <c r="D60" s="253" t="s">
        <v>416</v>
      </c>
      <c r="E60" s="263" t="s">
        <v>553</v>
      </c>
      <c r="F60" s="253" t="s">
        <v>66</v>
      </c>
      <c r="G60" s="253" t="s">
        <v>7</v>
      </c>
      <c r="H60" s="270">
        <f>50.9/1.12</f>
        <v>45.446428571428562</v>
      </c>
      <c r="I60" s="270">
        <f>50.9/1.12</f>
        <v>45.446428571428562</v>
      </c>
      <c r="J60" s="270">
        <f t="shared" si="8"/>
        <v>5.4535714285714274</v>
      </c>
      <c r="K60" s="303">
        <v>50.9</v>
      </c>
      <c r="L60" s="270">
        <f t="shared" si="10"/>
        <v>0</v>
      </c>
      <c r="M60" s="254">
        <f t="shared" si="7"/>
        <v>0</v>
      </c>
      <c r="N60" s="255" t="s">
        <v>544</v>
      </c>
      <c r="O60" s="260" t="s">
        <v>545</v>
      </c>
      <c r="P60" s="256"/>
      <c r="Q60" s="256" t="s">
        <v>546</v>
      </c>
      <c r="R60" s="257" t="s">
        <v>554</v>
      </c>
      <c r="S60" s="258">
        <v>44354</v>
      </c>
      <c r="T60" s="259"/>
      <c r="U60" s="251">
        <v>20</v>
      </c>
      <c r="V60" s="260">
        <f t="shared" si="11"/>
        <v>44374</v>
      </c>
      <c r="W60" s="258"/>
    </row>
    <row r="61" spans="1:23" s="201" customFormat="1" ht="22.5" x14ac:dyDescent="0.25">
      <c r="A61" s="251" t="s">
        <v>541</v>
      </c>
      <c r="B61" s="252">
        <v>530804</v>
      </c>
      <c r="C61" s="277" t="s">
        <v>555</v>
      </c>
      <c r="D61" s="253" t="s">
        <v>416</v>
      </c>
      <c r="E61" s="263" t="s">
        <v>556</v>
      </c>
      <c r="F61" s="253" t="s">
        <v>66</v>
      </c>
      <c r="G61" s="253" t="s">
        <v>7</v>
      </c>
      <c r="H61" s="270">
        <f>133.5/1.12</f>
        <v>119.19642857142856</v>
      </c>
      <c r="I61" s="270">
        <f>50.9/1.12</f>
        <v>45.446428571428562</v>
      </c>
      <c r="J61" s="270">
        <f t="shared" si="8"/>
        <v>5.4535714285714274</v>
      </c>
      <c r="K61" s="303">
        <v>133.5</v>
      </c>
      <c r="L61" s="270">
        <f t="shared" si="10"/>
        <v>73.75</v>
      </c>
      <c r="M61" s="254">
        <f t="shared" si="7"/>
        <v>0.61872659176029976</v>
      </c>
      <c r="N61" s="255" t="s">
        <v>544</v>
      </c>
      <c r="O61" s="260" t="s">
        <v>545</v>
      </c>
      <c r="P61" s="256"/>
      <c r="Q61" s="256" t="s">
        <v>546</v>
      </c>
      <c r="R61" s="257" t="s">
        <v>554</v>
      </c>
      <c r="S61" s="258">
        <v>44354</v>
      </c>
      <c r="T61" s="259"/>
      <c r="U61" s="251">
        <v>20</v>
      </c>
      <c r="V61" s="260">
        <f t="shared" si="11"/>
        <v>44374</v>
      </c>
      <c r="W61" s="258"/>
    </row>
    <row r="62" spans="1:23" s="201" customFormat="1" ht="22.5" x14ac:dyDescent="0.25">
      <c r="A62" s="251" t="s">
        <v>541</v>
      </c>
      <c r="B62" s="252">
        <v>530804</v>
      </c>
      <c r="C62" s="277" t="s">
        <v>557</v>
      </c>
      <c r="D62" s="253" t="s">
        <v>416</v>
      </c>
      <c r="E62" s="263" t="s">
        <v>558</v>
      </c>
      <c r="F62" s="253" t="s">
        <v>66</v>
      </c>
      <c r="G62" s="253" t="s">
        <v>7</v>
      </c>
      <c r="H62" s="270">
        <f>35.62/1.12</f>
        <v>31.803571428571423</v>
      </c>
      <c r="I62" s="270">
        <f>35.62/1.12</f>
        <v>31.803571428571423</v>
      </c>
      <c r="J62" s="270">
        <f t="shared" si="8"/>
        <v>3.8164285714285708</v>
      </c>
      <c r="K62" s="303">
        <v>35.619999999999997</v>
      </c>
      <c r="L62" s="270">
        <f t="shared" si="10"/>
        <v>0</v>
      </c>
      <c r="M62" s="254">
        <f t="shared" si="7"/>
        <v>0</v>
      </c>
      <c r="N62" s="255" t="s">
        <v>544</v>
      </c>
      <c r="O62" s="260" t="s">
        <v>545</v>
      </c>
      <c r="P62" s="256"/>
      <c r="Q62" s="256" t="s">
        <v>546</v>
      </c>
      <c r="R62" s="257" t="s">
        <v>554</v>
      </c>
      <c r="S62" s="258">
        <v>44354</v>
      </c>
      <c r="T62" s="259"/>
      <c r="U62" s="251">
        <v>20</v>
      </c>
      <c r="V62" s="260">
        <f t="shared" si="11"/>
        <v>44374</v>
      </c>
      <c r="W62" s="258"/>
    </row>
    <row r="63" spans="1:23" s="201" customFormat="1" ht="21" x14ac:dyDescent="0.25">
      <c r="A63" s="251" t="s">
        <v>541</v>
      </c>
      <c r="B63" s="252">
        <v>530804</v>
      </c>
      <c r="C63" s="277" t="s">
        <v>559</v>
      </c>
      <c r="D63" s="253" t="s">
        <v>416</v>
      </c>
      <c r="E63" s="263" t="s">
        <v>560</v>
      </c>
      <c r="F63" s="253" t="s">
        <v>66</v>
      </c>
      <c r="G63" s="253" t="s">
        <v>7</v>
      </c>
      <c r="H63" s="270">
        <f>335.26/1.12</f>
        <v>299.33928571428567</v>
      </c>
      <c r="I63" s="270">
        <f>335.26/1.12</f>
        <v>299.33928571428567</v>
      </c>
      <c r="J63" s="270">
        <f t="shared" si="8"/>
        <v>35.920714285714276</v>
      </c>
      <c r="K63" s="303">
        <v>335.26</v>
      </c>
      <c r="L63" s="270">
        <f t="shared" si="10"/>
        <v>0</v>
      </c>
      <c r="M63" s="254">
        <f t="shared" si="7"/>
        <v>0</v>
      </c>
      <c r="N63" s="255" t="s">
        <v>544</v>
      </c>
      <c r="O63" s="260" t="s">
        <v>545</v>
      </c>
      <c r="P63" s="256"/>
      <c r="Q63" s="256" t="s">
        <v>546</v>
      </c>
      <c r="R63" s="257" t="s">
        <v>551</v>
      </c>
      <c r="S63" s="258">
        <v>44354</v>
      </c>
      <c r="T63" s="259"/>
      <c r="U63" s="251">
        <v>20</v>
      </c>
      <c r="V63" s="260">
        <f t="shared" si="11"/>
        <v>44374</v>
      </c>
      <c r="W63" s="258"/>
    </row>
    <row r="64" spans="1:23" s="201" customFormat="1" ht="21" x14ac:dyDescent="0.25">
      <c r="A64" s="251" t="s">
        <v>541</v>
      </c>
      <c r="B64" s="252">
        <v>530804</v>
      </c>
      <c r="C64" s="277" t="s">
        <v>561</v>
      </c>
      <c r="D64" s="253" t="s">
        <v>416</v>
      </c>
      <c r="E64" s="263" t="s">
        <v>562</v>
      </c>
      <c r="F64" s="253" t="s">
        <v>66</v>
      </c>
      <c r="G64" s="253" t="s">
        <v>7</v>
      </c>
      <c r="H64" s="270">
        <f>78.4/1.12</f>
        <v>70</v>
      </c>
      <c r="I64" s="270">
        <f>78.4/1.12</f>
        <v>70</v>
      </c>
      <c r="J64" s="270">
        <f t="shared" si="8"/>
        <v>8.4</v>
      </c>
      <c r="K64" s="303">
        <v>78.400000000000006</v>
      </c>
      <c r="L64" s="270">
        <f t="shared" si="10"/>
        <v>0</v>
      </c>
      <c r="M64" s="254">
        <f t="shared" si="7"/>
        <v>0</v>
      </c>
      <c r="N64" s="255" t="s">
        <v>544</v>
      </c>
      <c r="O64" s="260" t="s">
        <v>545</v>
      </c>
      <c r="P64" s="256"/>
      <c r="Q64" s="256" t="s">
        <v>546</v>
      </c>
      <c r="R64" s="257" t="s">
        <v>563</v>
      </c>
      <c r="S64" s="258">
        <v>44354</v>
      </c>
      <c r="T64" s="259"/>
      <c r="U64" s="251">
        <v>20</v>
      </c>
      <c r="V64" s="260">
        <f t="shared" si="11"/>
        <v>44374</v>
      </c>
      <c r="W64" s="258"/>
    </row>
    <row r="65" spans="1:23" s="201" customFormat="1" ht="21" x14ac:dyDescent="0.25">
      <c r="A65" s="251" t="s">
        <v>541</v>
      </c>
      <c r="B65" s="252">
        <v>530804</v>
      </c>
      <c r="C65" s="277" t="s">
        <v>564</v>
      </c>
      <c r="D65" s="253" t="s">
        <v>416</v>
      </c>
      <c r="E65" s="263" t="s">
        <v>565</v>
      </c>
      <c r="F65" s="253" t="s">
        <v>66</v>
      </c>
      <c r="G65" s="253" t="s">
        <v>7</v>
      </c>
      <c r="H65" s="270">
        <f>47.04/1.12</f>
        <v>41.999999999999993</v>
      </c>
      <c r="I65" s="270">
        <f>47.04/1.12</f>
        <v>41.999999999999993</v>
      </c>
      <c r="J65" s="270">
        <f t="shared" si="8"/>
        <v>5.0399999999999991</v>
      </c>
      <c r="K65" s="303">
        <v>47.04</v>
      </c>
      <c r="L65" s="270">
        <f t="shared" si="10"/>
        <v>0</v>
      </c>
      <c r="M65" s="254">
        <f t="shared" si="7"/>
        <v>0</v>
      </c>
      <c r="N65" s="255" t="s">
        <v>544</v>
      </c>
      <c r="O65" s="260" t="s">
        <v>545</v>
      </c>
      <c r="P65" s="256"/>
      <c r="Q65" s="256" t="s">
        <v>546</v>
      </c>
      <c r="R65" s="257" t="s">
        <v>563</v>
      </c>
      <c r="S65" s="258">
        <v>44354</v>
      </c>
      <c r="T65" s="259"/>
      <c r="U65" s="251">
        <v>20</v>
      </c>
      <c r="V65" s="260">
        <f t="shared" si="11"/>
        <v>44374</v>
      </c>
      <c r="W65" s="258"/>
    </row>
    <row r="66" spans="1:23" s="201" customFormat="1" ht="21" x14ac:dyDescent="0.25">
      <c r="A66" s="251" t="s">
        <v>541</v>
      </c>
      <c r="B66" s="252">
        <v>530804</v>
      </c>
      <c r="C66" s="277" t="s">
        <v>566</v>
      </c>
      <c r="D66" s="253" t="s">
        <v>416</v>
      </c>
      <c r="E66" s="263" t="s">
        <v>567</v>
      </c>
      <c r="F66" s="253" t="s">
        <v>66</v>
      </c>
      <c r="G66" s="253" t="s">
        <v>7</v>
      </c>
      <c r="H66" s="270">
        <f>803.6/1.12</f>
        <v>717.5</v>
      </c>
      <c r="I66" s="270">
        <f>803.6/1.12</f>
        <v>717.5</v>
      </c>
      <c r="J66" s="270">
        <f t="shared" si="8"/>
        <v>86.1</v>
      </c>
      <c r="K66" s="303">
        <v>803.6</v>
      </c>
      <c r="L66" s="270">
        <f t="shared" si="10"/>
        <v>0</v>
      </c>
      <c r="M66" s="254">
        <f t="shared" si="7"/>
        <v>0</v>
      </c>
      <c r="N66" s="255" t="s">
        <v>544</v>
      </c>
      <c r="O66" s="260" t="s">
        <v>545</v>
      </c>
      <c r="P66" s="256"/>
      <c r="Q66" s="256" t="s">
        <v>546</v>
      </c>
      <c r="R66" s="257" t="s">
        <v>568</v>
      </c>
      <c r="S66" s="258">
        <v>44354</v>
      </c>
      <c r="T66" s="259"/>
      <c r="U66" s="251">
        <v>20</v>
      </c>
      <c r="V66" s="260">
        <f t="shared" si="11"/>
        <v>44374</v>
      </c>
      <c r="W66" s="258"/>
    </row>
    <row r="67" spans="1:23" s="201" customFormat="1" ht="21" x14ac:dyDescent="0.25">
      <c r="A67" s="251" t="s">
        <v>541</v>
      </c>
      <c r="B67" s="252">
        <v>530804</v>
      </c>
      <c r="C67" s="277" t="s">
        <v>569</v>
      </c>
      <c r="D67" s="253" t="s">
        <v>416</v>
      </c>
      <c r="E67" s="263" t="s">
        <v>570</v>
      </c>
      <c r="F67" s="253" t="s">
        <v>66</v>
      </c>
      <c r="G67" s="253" t="s">
        <v>7</v>
      </c>
      <c r="H67" s="270">
        <f>115.696/1.12</f>
        <v>103.29999999999998</v>
      </c>
      <c r="I67" s="270">
        <f>115.696/1.12</f>
        <v>103.29999999999998</v>
      </c>
      <c r="J67" s="270">
        <f t="shared" si="8"/>
        <v>12.395999999999997</v>
      </c>
      <c r="K67" s="303">
        <v>115.696</v>
      </c>
      <c r="L67" s="270">
        <f t="shared" si="10"/>
        <v>0</v>
      </c>
      <c r="M67" s="254">
        <f t="shared" si="7"/>
        <v>0</v>
      </c>
      <c r="N67" s="255" t="s">
        <v>544</v>
      </c>
      <c r="O67" s="260" t="s">
        <v>545</v>
      </c>
      <c r="P67" s="256"/>
      <c r="Q67" s="256" t="s">
        <v>546</v>
      </c>
      <c r="R67" s="257" t="s">
        <v>568</v>
      </c>
      <c r="S67" s="258">
        <v>44354</v>
      </c>
      <c r="T67" s="259"/>
      <c r="U67" s="251">
        <v>20</v>
      </c>
      <c r="V67" s="260">
        <f t="shared" si="11"/>
        <v>44374</v>
      </c>
      <c r="W67" s="258"/>
    </row>
    <row r="68" spans="1:23" s="201" customFormat="1" ht="22.5" x14ac:dyDescent="0.25">
      <c r="A68" s="251" t="s">
        <v>541</v>
      </c>
      <c r="B68" s="252">
        <v>530804</v>
      </c>
      <c r="C68" s="277" t="s">
        <v>571</v>
      </c>
      <c r="D68" s="253" t="s">
        <v>416</v>
      </c>
      <c r="E68" s="263" t="s">
        <v>572</v>
      </c>
      <c r="F68" s="253" t="s">
        <v>66</v>
      </c>
      <c r="G68" s="253" t="s">
        <v>7</v>
      </c>
      <c r="H68" s="270">
        <f>267.68/1.12</f>
        <v>238.99999999999997</v>
      </c>
      <c r="I68" s="270">
        <f>267.68/1.12</f>
        <v>238.99999999999997</v>
      </c>
      <c r="J68" s="270">
        <f t="shared" si="8"/>
        <v>28.679999999999996</v>
      </c>
      <c r="K68" s="303">
        <v>267.68</v>
      </c>
      <c r="L68" s="270">
        <f t="shared" si="10"/>
        <v>0</v>
      </c>
      <c r="M68" s="254">
        <f t="shared" si="7"/>
        <v>0</v>
      </c>
      <c r="N68" s="255" t="s">
        <v>544</v>
      </c>
      <c r="O68" s="260" t="s">
        <v>545</v>
      </c>
      <c r="P68" s="256"/>
      <c r="Q68" s="256" t="s">
        <v>546</v>
      </c>
      <c r="R68" s="257" t="s">
        <v>554</v>
      </c>
      <c r="S68" s="258">
        <v>44354</v>
      </c>
      <c r="T68" s="259"/>
      <c r="U68" s="251">
        <v>20</v>
      </c>
      <c r="V68" s="260">
        <f t="shared" si="11"/>
        <v>44374</v>
      </c>
      <c r="W68" s="258"/>
    </row>
    <row r="69" spans="1:23" s="201" customFormat="1" ht="21" x14ac:dyDescent="0.25">
      <c r="A69" s="251" t="s">
        <v>541</v>
      </c>
      <c r="B69" s="252">
        <v>530804</v>
      </c>
      <c r="C69" s="277" t="s">
        <v>573</v>
      </c>
      <c r="D69" s="253" t="s">
        <v>416</v>
      </c>
      <c r="E69" s="263" t="s">
        <v>574</v>
      </c>
      <c r="F69" s="253" t="s">
        <v>66</v>
      </c>
      <c r="G69" s="253" t="s">
        <v>7</v>
      </c>
      <c r="H69" s="270">
        <f>400.96/1.12</f>
        <v>357.99999999999994</v>
      </c>
      <c r="I69" s="270">
        <f>400.96/1.12</f>
        <v>357.99999999999994</v>
      </c>
      <c r="J69" s="270">
        <f t="shared" si="8"/>
        <v>42.959999999999994</v>
      </c>
      <c r="K69" s="303">
        <v>400.96</v>
      </c>
      <c r="L69" s="270">
        <f t="shared" si="10"/>
        <v>0</v>
      </c>
      <c r="M69" s="254">
        <f t="shared" si="7"/>
        <v>0</v>
      </c>
      <c r="N69" s="255" t="s">
        <v>544</v>
      </c>
      <c r="O69" s="260" t="s">
        <v>545</v>
      </c>
      <c r="P69" s="256"/>
      <c r="Q69" s="256" t="s">
        <v>546</v>
      </c>
      <c r="R69" s="257" t="s">
        <v>575</v>
      </c>
      <c r="S69" s="258">
        <v>44354</v>
      </c>
      <c r="T69" s="259"/>
      <c r="U69" s="251">
        <v>20</v>
      </c>
      <c r="V69" s="260">
        <f t="shared" si="11"/>
        <v>44374</v>
      </c>
      <c r="W69" s="258"/>
    </row>
    <row r="70" spans="1:23" s="201" customFormat="1" ht="22.5" x14ac:dyDescent="0.25">
      <c r="A70" s="251" t="s">
        <v>541</v>
      </c>
      <c r="B70" s="252">
        <v>530804</v>
      </c>
      <c r="C70" s="277" t="s">
        <v>576</v>
      </c>
      <c r="D70" s="253" t="s">
        <v>416</v>
      </c>
      <c r="E70" s="263" t="s">
        <v>577</v>
      </c>
      <c r="F70" s="253" t="s">
        <v>66</v>
      </c>
      <c r="G70" s="253" t="s">
        <v>7</v>
      </c>
      <c r="H70" s="270">
        <f>236.32/1.12</f>
        <v>210.99999999999997</v>
      </c>
      <c r="I70" s="270">
        <f>236.32/1.12</f>
        <v>210.99999999999997</v>
      </c>
      <c r="J70" s="270">
        <f t="shared" si="8"/>
        <v>25.319999999999997</v>
      </c>
      <c r="K70" s="303">
        <v>236.32</v>
      </c>
      <c r="L70" s="270">
        <f t="shared" si="10"/>
        <v>0</v>
      </c>
      <c r="M70" s="254">
        <f t="shared" si="7"/>
        <v>0</v>
      </c>
      <c r="N70" s="255" t="s">
        <v>544</v>
      </c>
      <c r="O70" s="260" t="s">
        <v>545</v>
      </c>
      <c r="P70" s="256"/>
      <c r="Q70" s="256" t="s">
        <v>546</v>
      </c>
      <c r="R70" s="257" t="s">
        <v>554</v>
      </c>
      <c r="S70" s="258">
        <v>44354</v>
      </c>
      <c r="T70" s="259"/>
      <c r="U70" s="251">
        <v>20</v>
      </c>
      <c r="V70" s="260">
        <f t="shared" si="11"/>
        <v>44374</v>
      </c>
      <c r="W70" s="258"/>
    </row>
    <row r="71" spans="1:23" s="201" customFormat="1" ht="22.5" x14ac:dyDescent="0.25">
      <c r="A71" s="251" t="s">
        <v>541</v>
      </c>
      <c r="B71" s="252">
        <v>530805</v>
      </c>
      <c r="C71" s="277" t="s">
        <v>578</v>
      </c>
      <c r="D71" s="253" t="s">
        <v>416</v>
      </c>
      <c r="E71" s="263" t="s">
        <v>579</v>
      </c>
      <c r="F71" s="253" t="s">
        <v>66</v>
      </c>
      <c r="G71" s="253" t="s">
        <v>7</v>
      </c>
      <c r="H71" s="270">
        <f>6.23/1.12</f>
        <v>5.5625</v>
      </c>
      <c r="I71" s="270">
        <f>6.23/1.12</f>
        <v>5.5625</v>
      </c>
      <c r="J71" s="270">
        <f t="shared" si="8"/>
        <v>0.66749999999999998</v>
      </c>
      <c r="K71" s="303">
        <v>6.23</v>
      </c>
      <c r="L71" s="270">
        <f t="shared" si="10"/>
        <v>0</v>
      </c>
      <c r="M71" s="254">
        <f t="shared" si="7"/>
        <v>0</v>
      </c>
      <c r="N71" s="255" t="s">
        <v>544</v>
      </c>
      <c r="O71" s="260" t="s">
        <v>545</v>
      </c>
      <c r="P71" s="256"/>
      <c r="Q71" s="256" t="s">
        <v>546</v>
      </c>
      <c r="R71" s="257" t="s">
        <v>554</v>
      </c>
      <c r="S71" s="258">
        <v>44354</v>
      </c>
      <c r="T71" s="259"/>
      <c r="U71" s="251">
        <v>20</v>
      </c>
      <c r="V71" s="260">
        <f t="shared" si="11"/>
        <v>44374</v>
      </c>
      <c r="W71" s="258"/>
    </row>
    <row r="72" spans="1:23" s="201" customFormat="1" ht="21" x14ac:dyDescent="0.25">
      <c r="A72" s="251" t="s">
        <v>541</v>
      </c>
      <c r="B72" s="252">
        <v>530805</v>
      </c>
      <c r="C72" s="277" t="s">
        <v>580</v>
      </c>
      <c r="D72" s="253" t="s">
        <v>416</v>
      </c>
      <c r="E72" s="263" t="s">
        <v>581</v>
      </c>
      <c r="F72" s="253" t="s">
        <v>66</v>
      </c>
      <c r="G72" s="253" t="s">
        <v>7</v>
      </c>
      <c r="H72" s="270">
        <f>3.86/1.12</f>
        <v>3.4464285714285712</v>
      </c>
      <c r="I72" s="270">
        <f>3.86/1.12</f>
        <v>3.4464285714285712</v>
      </c>
      <c r="J72" s="270">
        <f t="shared" si="8"/>
        <v>0.41357142857142853</v>
      </c>
      <c r="K72" s="303">
        <v>3.86</v>
      </c>
      <c r="L72" s="270">
        <f t="shared" si="10"/>
        <v>0</v>
      </c>
      <c r="M72" s="254">
        <f t="shared" si="7"/>
        <v>0</v>
      </c>
      <c r="N72" s="255" t="s">
        <v>544</v>
      </c>
      <c r="O72" s="260" t="s">
        <v>545</v>
      </c>
      <c r="P72" s="256"/>
      <c r="Q72" s="256" t="s">
        <v>546</v>
      </c>
      <c r="R72" s="257" t="s">
        <v>582</v>
      </c>
      <c r="S72" s="258">
        <v>44354</v>
      </c>
      <c r="T72" s="259"/>
      <c r="U72" s="251">
        <v>20</v>
      </c>
      <c r="V72" s="260">
        <f t="shared" si="11"/>
        <v>44374</v>
      </c>
      <c r="W72" s="258"/>
    </row>
    <row r="73" spans="1:23" s="201" customFormat="1" ht="22.5" x14ac:dyDescent="0.25">
      <c r="A73" s="251" t="s">
        <v>541</v>
      </c>
      <c r="B73" s="252">
        <v>530805</v>
      </c>
      <c r="C73" s="277" t="s">
        <v>583</v>
      </c>
      <c r="D73" s="253" t="s">
        <v>416</v>
      </c>
      <c r="E73" s="263" t="s">
        <v>584</v>
      </c>
      <c r="F73" s="253" t="s">
        <v>66</v>
      </c>
      <c r="G73" s="253" t="s">
        <v>7</v>
      </c>
      <c r="H73" s="270">
        <f>2.58/1.12</f>
        <v>2.3035714285714284</v>
      </c>
      <c r="I73" s="270">
        <f>2.58/1.12</f>
        <v>2.3035714285714284</v>
      </c>
      <c r="J73" s="270">
        <f t="shared" si="8"/>
        <v>0.27642857142857141</v>
      </c>
      <c r="K73" s="303">
        <v>2.58</v>
      </c>
      <c r="L73" s="270">
        <f t="shared" si="10"/>
        <v>0</v>
      </c>
      <c r="M73" s="254">
        <f t="shared" si="7"/>
        <v>0</v>
      </c>
      <c r="N73" s="255" t="s">
        <v>544</v>
      </c>
      <c r="O73" s="260" t="s">
        <v>545</v>
      </c>
      <c r="P73" s="256"/>
      <c r="Q73" s="256" t="s">
        <v>546</v>
      </c>
      <c r="R73" s="257" t="s">
        <v>554</v>
      </c>
      <c r="S73" s="258">
        <v>44354</v>
      </c>
      <c r="T73" s="259"/>
      <c r="U73" s="251">
        <v>20</v>
      </c>
      <c r="V73" s="260">
        <f t="shared" si="11"/>
        <v>44374</v>
      </c>
      <c r="W73" s="258"/>
    </row>
    <row r="74" spans="1:23" s="201" customFormat="1" ht="22.5" x14ac:dyDescent="0.25">
      <c r="A74" s="251" t="s">
        <v>541</v>
      </c>
      <c r="B74" s="252">
        <v>530805</v>
      </c>
      <c r="C74" s="277" t="s">
        <v>585</v>
      </c>
      <c r="D74" s="253" t="s">
        <v>416</v>
      </c>
      <c r="E74" s="263" t="s">
        <v>586</v>
      </c>
      <c r="F74" s="253" t="s">
        <v>66</v>
      </c>
      <c r="G74" s="253" t="s">
        <v>7</v>
      </c>
      <c r="H74" s="270">
        <f>19.71/1.12</f>
        <v>17.598214285714285</v>
      </c>
      <c r="I74" s="270">
        <f>19.71/1.12</f>
        <v>17.598214285714285</v>
      </c>
      <c r="J74" s="270">
        <f t="shared" si="8"/>
        <v>2.1117857142857139</v>
      </c>
      <c r="K74" s="303">
        <v>19.71</v>
      </c>
      <c r="L74" s="270">
        <f t="shared" si="10"/>
        <v>0</v>
      </c>
      <c r="M74" s="254">
        <f t="shared" si="7"/>
        <v>0</v>
      </c>
      <c r="N74" s="255" t="s">
        <v>544</v>
      </c>
      <c r="O74" s="260" t="s">
        <v>545</v>
      </c>
      <c r="P74" s="256"/>
      <c r="Q74" s="256" t="s">
        <v>546</v>
      </c>
      <c r="R74" s="257" t="s">
        <v>554</v>
      </c>
      <c r="S74" s="258">
        <v>44354</v>
      </c>
      <c r="T74" s="259"/>
      <c r="U74" s="251">
        <v>20</v>
      </c>
      <c r="V74" s="260">
        <f t="shared" si="11"/>
        <v>44374</v>
      </c>
      <c r="W74" s="258"/>
    </row>
    <row r="75" spans="1:23" s="201" customFormat="1" ht="22.5" x14ac:dyDescent="0.25">
      <c r="A75" s="251" t="s">
        <v>541</v>
      </c>
      <c r="B75" s="252">
        <v>530805</v>
      </c>
      <c r="C75" s="277" t="s">
        <v>587</v>
      </c>
      <c r="D75" s="253" t="s">
        <v>416</v>
      </c>
      <c r="E75" s="263" t="s">
        <v>588</v>
      </c>
      <c r="F75" s="253" t="s">
        <v>66</v>
      </c>
      <c r="G75" s="253" t="s">
        <v>7</v>
      </c>
      <c r="H75" s="270">
        <f>18.37/1.12</f>
        <v>16.401785714285715</v>
      </c>
      <c r="I75" s="270">
        <f>18.37/1.12</f>
        <v>16.401785714285715</v>
      </c>
      <c r="J75" s="270">
        <f t="shared" si="8"/>
        <v>1.9682142857142857</v>
      </c>
      <c r="K75" s="303">
        <v>18.37</v>
      </c>
      <c r="L75" s="270">
        <f t="shared" si="10"/>
        <v>0</v>
      </c>
      <c r="M75" s="254">
        <f t="shared" si="7"/>
        <v>0</v>
      </c>
      <c r="N75" s="255" t="s">
        <v>544</v>
      </c>
      <c r="O75" s="260" t="s">
        <v>545</v>
      </c>
      <c r="P75" s="256"/>
      <c r="Q75" s="256" t="s">
        <v>546</v>
      </c>
      <c r="R75" s="257" t="s">
        <v>554</v>
      </c>
      <c r="S75" s="258">
        <v>44354</v>
      </c>
      <c r="T75" s="259"/>
      <c r="U75" s="251">
        <v>20</v>
      </c>
      <c r="V75" s="260">
        <f t="shared" si="11"/>
        <v>44374</v>
      </c>
      <c r="W75" s="258"/>
    </row>
    <row r="76" spans="1:23" s="201" customFormat="1" ht="22.5" x14ac:dyDescent="0.25">
      <c r="A76" s="251" t="s">
        <v>541</v>
      </c>
      <c r="B76" s="252">
        <v>530805</v>
      </c>
      <c r="C76" s="277" t="s">
        <v>589</v>
      </c>
      <c r="D76" s="253" t="s">
        <v>416</v>
      </c>
      <c r="E76" s="263" t="s">
        <v>590</v>
      </c>
      <c r="F76" s="253" t="s">
        <v>66</v>
      </c>
      <c r="G76" s="253" t="s">
        <v>7</v>
      </c>
      <c r="H76" s="270">
        <f>8.4/1.12</f>
        <v>7.5</v>
      </c>
      <c r="I76" s="270">
        <f>8.4/1.12</f>
        <v>7.5</v>
      </c>
      <c r="J76" s="270">
        <f t="shared" si="8"/>
        <v>0.89999999999999991</v>
      </c>
      <c r="K76" s="303">
        <v>8.4</v>
      </c>
      <c r="L76" s="270">
        <f t="shared" si="10"/>
        <v>0</v>
      </c>
      <c r="M76" s="254">
        <f t="shared" si="7"/>
        <v>0</v>
      </c>
      <c r="N76" s="255" t="s">
        <v>544</v>
      </c>
      <c r="O76" s="260" t="s">
        <v>545</v>
      </c>
      <c r="P76" s="256"/>
      <c r="Q76" s="256" t="s">
        <v>546</v>
      </c>
      <c r="R76" s="257" t="s">
        <v>554</v>
      </c>
      <c r="S76" s="258">
        <v>44354</v>
      </c>
      <c r="T76" s="259"/>
      <c r="U76" s="251">
        <v>20</v>
      </c>
      <c r="V76" s="260">
        <f t="shared" si="11"/>
        <v>44374</v>
      </c>
      <c r="W76" s="258"/>
    </row>
    <row r="77" spans="1:23" s="201" customFormat="1" ht="22.5" x14ac:dyDescent="0.25">
      <c r="A77" s="251" t="s">
        <v>541</v>
      </c>
      <c r="B77" s="252">
        <v>530805</v>
      </c>
      <c r="C77" s="277" t="s">
        <v>591</v>
      </c>
      <c r="D77" s="253" t="s">
        <v>416</v>
      </c>
      <c r="E77" s="263" t="s">
        <v>592</v>
      </c>
      <c r="F77" s="253" t="s">
        <v>66</v>
      </c>
      <c r="G77" s="253" t="s">
        <v>7</v>
      </c>
      <c r="H77" s="270">
        <f>10.3/1.12</f>
        <v>9.1964285714285712</v>
      </c>
      <c r="I77" s="270">
        <f>10.3/1.12</f>
        <v>9.1964285714285712</v>
      </c>
      <c r="J77" s="270">
        <f>I77*0.12</f>
        <v>1.1035714285714284</v>
      </c>
      <c r="K77" s="303">
        <v>10.3</v>
      </c>
      <c r="L77" s="270">
        <f t="shared" si="10"/>
        <v>0</v>
      </c>
      <c r="M77" s="254">
        <f t="shared" si="7"/>
        <v>0</v>
      </c>
      <c r="N77" s="255" t="s">
        <v>544</v>
      </c>
      <c r="O77" s="260" t="s">
        <v>545</v>
      </c>
      <c r="P77" s="256"/>
      <c r="Q77" s="256" t="s">
        <v>546</v>
      </c>
      <c r="R77" s="257" t="s">
        <v>554</v>
      </c>
      <c r="S77" s="258">
        <v>44354</v>
      </c>
      <c r="T77" s="259"/>
      <c r="U77" s="251">
        <v>20</v>
      </c>
      <c r="V77" s="260">
        <f t="shared" si="11"/>
        <v>44374</v>
      </c>
      <c r="W77" s="258"/>
    </row>
    <row r="78" spans="1:23" s="201" customFormat="1" ht="22.5" x14ac:dyDescent="0.25">
      <c r="A78" s="251" t="s">
        <v>541</v>
      </c>
      <c r="B78" s="252">
        <v>530805</v>
      </c>
      <c r="C78" s="277" t="s">
        <v>593</v>
      </c>
      <c r="D78" s="253" t="s">
        <v>416</v>
      </c>
      <c r="E78" s="263" t="s">
        <v>594</v>
      </c>
      <c r="F78" s="253" t="s">
        <v>66</v>
      </c>
      <c r="G78" s="253" t="s">
        <v>7</v>
      </c>
      <c r="H78" s="270">
        <f>28.56/1.12</f>
        <v>25.499999999999996</v>
      </c>
      <c r="I78" s="270">
        <f>28.56/1.12</f>
        <v>25.499999999999996</v>
      </c>
      <c r="J78" s="270">
        <f t="shared" si="8"/>
        <v>3.0599999999999996</v>
      </c>
      <c r="K78" s="303">
        <v>28.56</v>
      </c>
      <c r="L78" s="270">
        <f t="shared" si="10"/>
        <v>0</v>
      </c>
      <c r="M78" s="254">
        <f t="shared" si="7"/>
        <v>0</v>
      </c>
      <c r="N78" s="255" t="s">
        <v>544</v>
      </c>
      <c r="O78" s="260" t="s">
        <v>545</v>
      </c>
      <c r="P78" s="256"/>
      <c r="Q78" s="256" t="s">
        <v>546</v>
      </c>
      <c r="R78" s="257" t="s">
        <v>554</v>
      </c>
      <c r="S78" s="258">
        <v>44354</v>
      </c>
      <c r="T78" s="259"/>
      <c r="U78" s="251">
        <v>20</v>
      </c>
      <c r="V78" s="260">
        <f t="shared" si="11"/>
        <v>44374</v>
      </c>
      <c r="W78" s="258"/>
    </row>
    <row r="79" spans="1:23" s="201" customFormat="1" ht="22.5" x14ac:dyDescent="0.25">
      <c r="A79" s="251" t="s">
        <v>541</v>
      </c>
      <c r="B79" s="252">
        <v>530805</v>
      </c>
      <c r="C79" s="277" t="s">
        <v>595</v>
      </c>
      <c r="D79" s="253" t="s">
        <v>416</v>
      </c>
      <c r="E79" s="263" t="s">
        <v>596</v>
      </c>
      <c r="F79" s="253" t="s">
        <v>66</v>
      </c>
      <c r="G79" s="253" t="s">
        <v>7</v>
      </c>
      <c r="H79" s="270">
        <f>26.43/1.12</f>
        <v>23.598214285714285</v>
      </c>
      <c r="I79" s="270">
        <f>26.43/1.12</f>
        <v>23.598214285714285</v>
      </c>
      <c r="J79" s="270">
        <f t="shared" si="8"/>
        <v>2.8317857142857141</v>
      </c>
      <c r="K79" s="303">
        <v>26.43</v>
      </c>
      <c r="L79" s="270">
        <f t="shared" si="10"/>
        <v>0</v>
      </c>
      <c r="M79" s="254">
        <f t="shared" si="7"/>
        <v>0</v>
      </c>
      <c r="N79" s="255" t="s">
        <v>544</v>
      </c>
      <c r="O79" s="260" t="s">
        <v>545</v>
      </c>
      <c r="P79" s="256"/>
      <c r="Q79" s="256" t="s">
        <v>546</v>
      </c>
      <c r="R79" s="257" t="s">
        <v>554</v>
      </c>
      <c r="S79" s="258">
        <v>44354</v>
      </c>
      <c r="T79" s="259"/>
      <c r="U79" s="251">
        <v>20</v>
      </c>
      <c r="V79" s="260">
        <f t="shared" si="11"/>
        <v>44374</v>
      </c>
      <c r="W79" s="258"/>
    </row>
    <row r="80" spans="1:23" s="201" customFormat="1" ht="22.5" x14ac:dyDescent="0.25">
      <c r="A80" s="251" t="s">
        <v>541</v>
      </c>
      <c r="B80" s="252">
        <v>530805</v>
      </c>
      <c r="C80" s="277" t="s">
        <v>597</v>
      </c>
      <c r="D80" s="253" t="s">
        <v>416</v>
      </c>
      <c r="E80" s="263" t="s">
        <v>598</v>
      </c>
      <c r="F80" s="253" t="s">
        <v>66</v>
      </c>
      <c r="G80" s="253" t="s">
        <v>7</v>
      </c>
      <c r="H80" s="270">
        <f>53.76/1.12</f>
        <v>47.999999999999993</v>
      </c>
      <c r="I80" s="270">
        <f>53.76/1.12</f>
        <v>47.999999999999993</v>
      </c>
      <c r="J80" s="270">
        <f t="shared" si="8"/>
        <v>5.7599999999999989</v>
      </c>
      <c r="K80" s="303">
        <v>53.76</v>
      </c>
      <c r="L80" s="270">
        <f t="shared" si="10"/>
        <v>0</v>
      </c>
      <c r="M80" s="254">
        <f t="shared" si="7"/>
        <v>0</v>
      </c>
      <c r="N80" s="255" t="s">
        <v>544</v>
      </c>
      <c r="O80" s="260" t="s">
        <v>545</v>
      </c>
      <c r="P80" s="256"/>
      <c r="Q80" s="256" t="s">
        <v>546</v>
      </c>
      <c r="R80" s="257" t="s">
        <v>554</v>
      </c>
      <c r="S80" s="258">
        <v>44354</v>
      </c>
      <c r="T80" s="259"/>
      <c r="U80" s="251">
        <v>20</v>
      </c>
      <c r="V80" s="260">
        <f t="shared" si="11"/>
        <v>44374</v>
      </c>
      <c r="W80" s="258"/>
    </row>
    <row r="81" spans="1:23" s="201" customFormat="1" ht="21" x14ac:dyDescent="0.25">
      <c r="A81" s="251" t="s">
        <v>541</v>
      </c>
      <c r="B81" s="252">
        <v>530805</v>
      </c>
      <c r="C81" s="277" t="s">
        <v>599</v>
      </c>
      <c r="D81" s="253" t="s">
        <v>416</v>
      </c>
      <c r="E81" s="263" t="s">
        <v>600</v>
      </c>
      <c r="F81" s="253" t="s">
        <v>66</v>
      </c>
      <c r="G81" s="253" t="s">
        <v>7</v>
      </c>
      <c r="H81" s="270">
        <f>40.32/1.12</f>
        <v>36</v>
      </c>
      <c r="I81" s="270">
        <f>40.32/1.12</f>
        <v>36</v>
      </c>
      <c r="J81" s="270">
        <f t="shared" si="8"/>
        <v>4.32</v>
      </c>
      <c r="K81" s="303">
        <v>40.32</v>
      </c>
      <c r="L81" s="270">
        <f t="shared" si="10"/>
        <v>0</v>
      </c>
      <c r="M81" s="254">
        <f t="shared" si="7"/>
        <v>0</v>
      </c>
      <c r="N81" s="255" t="s">
        <v>544</v>
      </c>
      <c r="O81" s="260" t="s">
        <v>545</v>
      </c>
      <c r="P81" s="256"/>
      <c r="Q81" s="256" t="s">
        <v>546</v>
      </c>
      <c r="R81" s="257" t="s">
        <v>601</v>
      </c>
      <c r="S81" s="258">
        <v>44354</v>
      </c>
      <c r="T81" s="259"/>
      <c r="U81" s="251">
        <v>20</v>
      </c>
      <c r="V81" s="260">
        <f t="shared" si="11"/>
        <v>44374</v>
      </c>
      <c r="W81" s="258"/>
    </row>
    <row r="82" spans="1:23" s="201" customFormat="1" ht="22.5" x14ac:dyDescent="0.25">
      <c r="A82" s="251" t="s">
        <v>541</v>
      </c>
      <c r="B82" s="252">
        <v>530805</v>
      </c>
      <c r="C82" s="277" t="s">
        <v>602</v>
      </c>
      <c r="D82" s="253" t="s">
        <v>416</v>
      </c>
      <c r="E82" s="263" t="s">
        <v>603</v>
      </c>
      <c r="F82" s="253" t="s">
        <v>66</v>
      </c>
      <c r="G82" s="253" t="s">
        <v>7</v>
      </c>
      <c r="H82" s="270">
        <f>12.99/1.12</f>
        <v>11.598214285714285</v>
      </c>
      <c r="I82" s="270">
        <f>12.99/1.12</f>
        <v>11.598214285714285</v>
      </c>
      <c r="J82" s="270">
        <f t="shared" si="8"/>
        <v>1.3917857142857142</v>
      </c>
      <c r="K82" s="303">
        <v>12.99</v>
      </c>
      <c r="L82" s="270">
        <f t="shared" si="10"/>
        <v>0</v>
      </c>
      <c r="M82" s="254">
        <f t="shared" si="7"/>
        <v>0</v>
      </c>
      <c r="N82" s="255" t="s">
        <v>544</v>
      </c>
      <c r="O82" s="260" t="s">
        <v>545</v>
      </c>
      <c r="P82" s="256"/>
      <c r="Q82" s="256" t="s">
        <v>546</v>
      </c>
      <c r="R82" s="257" t="s">
        <v>554</v>
      </c>
      <c r="S82" s="258">
        <v>44354</v>
      </c>
      <c r="T82" s="259"/>
      <c r="U82" s="251">
        <v>20</v>
      </c>
      <c r="V82" s="260">
        <f t="shared" si="11"/>
        <v>44374</v>
      </c>
      <c r="W82" s="258"/>
    </row>
    <row r="83" spans="1:23" s="201" customFormat="1" ht="22.5" x14ac:dyDescent="0.25">
      <c r="A83" s="251" t="s">
        <v>541</v>
      </c>
      <c r="B83" s="252">
        <v>530805</v>
      </c>
      <c r="C83" s="277" t="s">
        <v>604</v>
      </c>
      <c r="D83" s="253" t="s">
        <v>416</v>
      </c>
      <c r="E83" s="263" t="s">
        <v>605</v>
      </c>
      <c r="F83" s="253" t="s">
        <v>66</v>
      </c>
      <c r="G83" s="253" t="s">
        <v>7</v>
      </c>
      <c r="H83" s="270">
        <f>9.86/1.12</f>
        <v>8.803571428571427</v>
      </c>
      <c r="I83" s="270">
        <f>9.86/1.12</f>
        <v>8.803571428571427</v>
      </c>
      <c r="J83" s="270">
        <f t="shared" si="8"/>
        <v>1.0564285714285713</v>
      </c>
      <c r="K83" s="303">
        <v>9.86</v>
      </c>
      <c r="L83" s="270">
        <f t="shared" si="10"/>
        <v>0</v>
      </c>
      <c r="M83" s="254">
        <f t="shared" si="7"/>
        <v>0</v>
      </c>
      <c r="N83" s="255" t="s">
        <v>544</v>
      </c>
      <c r="O83" s="260" t="s">
        <v>545</v>
      </c>
      <c r="P83" s="256"/>
      <c r="Q83" s="256" t="s">
        <v>546</v>
      </c>
      <c r="R83" s="257" t="s">
        <v>554</v>
      </c>
      <c r="S83" s="258">
        <v>44354</v>
      </c>
      <c r="T83" s="259"/>
      <c r="U83" s="251">
        <v>20</v>
      </c>
      <c r="V83" s="260">
        <f t="shared" si="11"/>
        <v>44374</v>
      </c>
      <c r="W83" s="258"/>
    </row>
    <row r="84" spans="1:23" s="201" customFormat="1" ht="22.5" x14ac:dyDescent="0.25">
      <c r="A84" s="251" t="s">
        <v>541</v>
      </c>
      <c r="B84" s="252">
        <v>530805</v>
      </c>
      <c r="C84" s="277" t="s">
        <v>606</v>
      </c>
      <c r="D84" s="253" t="s">
        <v>416</v>
      </c>
      <c r="E84" s="263" t="s">
        <v>607</v>
      </c>
      <c r="F84" s="253" t="s">
        <v>66</v>
      </c>
      <c r="G84" s="253" t="s">
        <v>7</v>
      </c>
      <c r="H84" s="270">
        <f>10.3/1.12</f>
        <v>9.1964285714285712</v>
      </c>
      <c r="I84" s="270">
        <f>10.3/1.12</f>
        <v>9.1964285714285712</v>
      </c>
      <c r="J84" s="270">
        <f t="shared" si="8"/>
        <v>1.1035714285714284</v>
      </c>
      <c r="K84" s="303">
        <v>10.3</v>
      </c>
      <c r="L84" s="270">
        <f t="shared" si="10"/>
        <v>0</v>
      </c>
      <c r="M84" s="254">
        <f t="shared" si="7"/>
        <v>0</v>
      </c>
      <c r="N84" s="255" t="s">
        <v>544</v>
      </c>
      <c r="O84" s="260" t="s">
        <v>545</v>
      </c>
      <c r="P84" s="256"/>
      <c r="Q84" s="256" t="s">
        <v>546</v>
      </c>
      <c r="R84" s="257" t="s">
        <v>554</v>
      </c>
      <c r="S84" s="258">
        <v>44354</v>
      </c>
      <c r="T84" s="259"/>
      <c r="U84" s="251">
        <v>20</v>
      </c>
      <c r="V84" s="260">
        <f t="shared" si="11"/>
        <v>44374</v>
      </c>
      <c r="W84" s="258"/>
    </row>
    <row r="85" spans="1:23" s="201" customFormat="1" ht="22.5" x14ac:dyDescent="0.25">
      <c r="A85" s="251" t="s">
        <v>541</v>
      </c>
      <c r="B85" s="252">
        <v>530805</v>
      </c>
      <c r="C85" s="277" t="s">
        <v>608</v>
      </c>
      <c r="D85" s="253" t="s">
        <v>416</v>
      </c>
      <c r="E85" s="263" t="s">
        <v>609</v>
      </c>
      <c r="F85" s="253" t="s">
        <v>66</v>
      </c>
      <c r="G85" s="253" t="s">
        <v>7</v>
      </c>
      <c r="H85" s="270">
        <f>48.72/1.12</f>
        <v>43.499999999999993</v>
      </c>
      <c r="I85" s="270">
        <f>48.72/1.12</f>
        <v>43.499999999999993</v>
      </c>
      <c r="J85" s="270">
        <f t="shared" si="8"/>
        <v>5.2199999999999989</v>
      </c>
      <c r="K85" s="303">
        <v>48.72</v>
      </c>
      <c r="L85" s="270">
        <f t="shared" si="10"/>
        <v>0</v>
      </c>
      <c r="M85" s="254">
        <f t="shared" si="7"/>
        <v>0</v>
      </c>
      <c r="N85" s="255" t="s">
        <v>544</v>
      </c>
      <c r="O85" s="260" t="s">
        <v>545</v>
      </c>
      <c r="P85" s="256"/>
      <c r="Q85" s="256" t="s">
        <v>546</v>
      </c>
      <c r="R85" s="257" t="s">
        <v>554</v>
      </c>
      <c r="S85" s="258">
        <v>44354</v>
      </c>
      <c r="T85" s="259"/>
      <c r="U85" s="251">
        <v>20</v>
      </c>
      <c r="V85" s="260">
        <f t="shared" si="11"/>
        <v>44374</v>
      </c>
      <c r="W85" s="258"/>
    </row>
    <row r="86" spans="1:23" s="201" customFormat="1" ht="22.5" x14ac:dyDescent="0.25">
      <c r="A86" s="251" t="s">
        <v>541</v>
      </c>
      <c r="B86" s="252">
        <v>530805</v>
      </c>
      <c r="C86" s="277" t="s">
        <v>610</v>
      </c>
      <c r="D86" s="253" t="s">
        <v>416</v>
      </c>
      <c r="E86" s="263" t="s">
        <v>611</v>
      </c>
      <c r="F86" s="253" t="s">
        <v>66</v>
      </c>
      <c r="G86" s="253" t="s">
        <v>7</v>
      </c>
      <c r="H86" s="270">
        <f>3.74/1.12</f>
        <v>3.339285714285714</v>
      </c>
      <c r="I86" s="270">
        <f>3.74/1.12</f>
        <v>3.339285714285714</v>
      </c>
      <c r="J86" s="270">
        <f t="shared" si="8"/>
        <v>0.40071428571428563</v>
      </c>
      <c r="K86" s="303">
        <v>3.74</v>
      </c>
      <c r="L86" s="270">
        <f t="shared" si="10"/>
        <v>0</v>
      </c>
      <c r="M86" s="254">
        <f t="shared" si="7"/>
        <v>0</v>
      </c>
      <c r="N86" s="255" t="s">
        <v>544</v>
      </c>
      <c r="O86" s="260" t="s">
        <v>545</v>
      </c>
      <c r="P86" s="256"/>
      <c r="Q86" s="256" t="s">
        <v>546</v>
      </c>
      <c r="R86" s="257" t="s">
        <v>554</v>
      </c>
      <c r="S86" s="258">
        <v>44354</v>
      </c>
      <c r="T86" s="259"/>
      <c r="U86" s="251">
        <v>20</v>
      </c>
      <c r="V86" s="260">
        <f t="shared" si="11"/>
        <v>44374</v>
      </c>
      <c r="W86" s="258"/>
    </row>
    <row r="87" spans="1:23" s="201" customFormat="1" ht="22.5" x14ac:dyDescent="0.25">
      <c r="A87" s="251" t="s">
        <v>541</v>
      </c>
      <c r="B87" s="252">
        <v>530805</v>
      </c>
      <c r="C87" s="277" t="s">
        <v>612</v>
      </c>
      <c r="D87" s="253" t="s">
        <v>416</v>
      </c>
      <c r="E87" s="263" t="s">
        <v>613</v>
      </c>
      <c r="F87" s="253" t="s">
        <v>66</v>
      </c>
      <c r="G87" s="253" t="s">
        <v>7</v>
      </c>
      <c r="H87" s="270">
        <f>33.04/1.12</f>
        <v>29.499999999999996</v>
      </c>
      <c r="I87" s="270">
        <f>33.04/1.12</f>
        <v>29.499999999999996</v>
      </c>
      <c r="J87" s="270">
        <f t="shared" si="8"/>
        <v>3.5399999999999996</v>
      </c>
      <c r="K87" s="303">
        <f>I87+J87</f>
        <v>33.04</v>
      </c>
      <c r="L87" s="270">
        <f t="shared" si="10"/>
        <v>0</v>
      </c>
      <c r="M87" s="254">
        <f t="shared" si="7"/>
        <v>0</v>
      </c>
      <c r="N87" s="255" t="s">
        <v>544</v>
      </c>
      <c r="O87" s="260" t="s">
        <v>545</v>
      </c>
      <c r="P87" s="256"/>
      <c r="Q87" s="256" t="s">
        <v>546</v>
      </c>
      <c r="R87" s="257" t="s">
        <v>554</v>
      </c>
      <c r="S87" s="258">
        <v>44354</v>
      </c>
      <c r="T87" s="259"/>
      <c r="U87" s="251">
        <v>20</v>
      </c>
      <c r="V87" s="260">
        <f t="shared" si="11"/>
        <v>44374</v>
      </c>
      <c r="W87" s="258"/>
    </row>
    <row r="88" spans="1:23" s="201" customFormat="1" ht="22.5" x14ac:dyDescent="0.25">
      <c r="A88" s="251" t="s">
        <v>541</v>
      </c>
      <c r="B88" s="252">
        <v>530805</v>
      </c>
      <c r="C88" s="277" t="s">
        <v>614</v>
      </c>
      <c r="D88" s="253" t="s">
        <v>416</v>
      </c>
      <c r="E88" s="263" t="s">
        <v>615</v>
      </c>
      <c r="F88" s="253" t="s">
        <v>66</v>
      </c>
      <c r="G88" s="253" t="s">
        <v>7</v>
      </c>
      <c r="H88" s="270">
        <f>31.36/1.12</f>
        <v>27.999999999999996</v>
      </c>
      <c r="I88" s="270">
        <f>31.36/1.12</f>
        <v>27.999999999999996</v>
      </c>
      <c r="J88" s="270">
        <f t="shared" si="8"/>
        <v>3.3599999999999994</v>
      </c>
      <c r="K88" s="303">
        <f>I88+J88</f>
        <v>31.359999999999996</v>
      </c>
      <c r="L88" s="270">
        <f t="shared" si="10"/>
        <v>0</v>
      </c>
      <c r="M88" s="254">
        <f t="shared" si="7"/>
        <v>0</v>
      </c>
      <c r="N88" s="255" t="s">
        <v>544</v>
      </c>
      <c r="O88" s="260" t="s">
        <v>545</v>
      </c>
      <c r="P88" s="256"/>
      <c r="Q88" s="256" t="s">
        <v>546</v>
      </c>
      <c r="R88" s="257" t="s">
        <v>554</v>
      </c>
      <c r="S88" s="258">
        <v>44354</v>
      </c>
      <c r="T88" s="259"/>
      <c r="U88" s="251">
        <v>20</v>
      </c>
      <c r="V88" s="260">
        <f t="shared" si="11"/>
        <v>44374</v>
      </c>
      <c r="W88" s="258"/>
    </row>
    <row r="89" spans="1:23" s="201" customFormat="1" ht="22.5" x14ac:dyDescent="0.25">
      <c r="A89" s="251" t="s">
        <v>541</v>
      </c>
      <c r="B89" s="252">
        <v>530805</v>
      </c>
      <c r="C89" s="277" t="s">
        <v>616</v>
      </c>
      <c r="D89" s="253" t="s">
        <v>416</v>
      </c>
      <c r="E89" s="263" t="s">
        <v>617</v>
      </c>
      <c r="F89" s="253" t="s">
        <v>66</v>
      </c>
      <c r="G89" s="253" t="s">
        <v>7</v>
      </c>
      <c r="H89" s="270">
        <f>6.05/1.12</f>
        <v>5.4017857142857135</v>
      </c>
      <c r="I89" s="270">
        <f>6.05/1.12</f>
        <v>5.4017857142857135</v>
      </c>
      <c r="J89" s="270">
        <f t="shared" si="8"/>
        <v>0.64821428571428563</v>
      </c>
      <c r="K89" s="303">
        <v>6.05</v>
      </c>
      <c r="L89" s="270">
        <f t="shared" si="10"/>
        <v>0</v>
      </c>
      <c r="M89" s="254">
        <f t="shared" si="7"/>
        <v>0</v>
      </c>
      <c r="N89" s="255" t="s">
        <v>544</v>
      </c>
      <c r="O89" s="260" t="s">
        <v>545</v>
      </c>
      <c r="P89" s="256"/>
      <c r="Q89" s="256" t="s">
        <v>546</v>
      </c>
      <c r="R89" s="257" t="s">
        <v>554</v>
      </c>
      <c r="S89" s="258">
        <v>44354</v>
      </c>
      <c r="T89" s="259"/>
      <c r="U89" s="251">
        <v>20</v>
      </c>
      <c r="V89" s="260">
        <f t="shared" si="11"/>
        <v>44374</v>
      </c>
      <c r="W89" s="258"/>
    </row>
    <row r="90" spans="1:23" s="201" customFormat="1" ht="22.5" x14ac:dyDescent="0.25">
      <c r="A90" s="251" t="s">
        <v>541</v>
      </c>
      <c r="B90" s="252">
        <v>530805</v>
      </c>
      <c r="C90" s="277" t="s">
        <v>618</v>
      </c>
      <c r="D90" s="253" t="s">
        <v>416</v>
      </c>
      <c r="E90" s="263" t="s">
        <v>619</v>
      </c>
      <c r="F90" s="253" t="s">
        <v>66</v>
      </c>
      <c r="G90" s="253" t="s">
        <v>7</v>
      </c>
      <c r="H90" s="270">
        <f>0.67/1.12</f>
        <v>0.5982142857142857</v>
      </c>
      <c r="I90" s="270">
        <f>0.67/1.12</f>
        <v>0.5982142857142857</v>
      </c>
      <c r="J90" s="270">
        <f t="shared" si="8"/>
        <v>7.1785714285714286E-2</v>
      </c>
      <c r="K90" s="303">
        <v>0.67</v>
      </c>
      <c r="L90" s="270">
        <f t="shared" si="10"/>
        <v>0</v>
      </c>
      <c r="M90" s="254">
        <f t="shared" si="7"/>
        <v>0</v>
      </c>
      <c r="N90" s="255" t="s">
        <v>544</v>
      </c>
      <c r="O90" s="260" t="s">
        <v>545</v>
      </c>
      <c r="P90" s="256"/>
      <c r="Q90" s="256" t="s">
        <v>546</v>
      </c>
      <c r="R90" s="257" t="s">
        <v>554</v>
      </c>
      <c r="S90" s="258">
        <v>44354</v>
      </c>
      <c r="T90" s="259"/>
      <c r="U90" s="251">
        <v>20</v>
      </c>
      <c r="V90" s="260">
        <f t="shared" si="11"/>
        <v>44374</v>
      </c>
      <c r="W90" s="258"/>
    </row>
    <row r="91" spans="1:23" s="201" customFormat="1" ht="22.5" x14ac:dyDescent="0.25">
      <c r="A91" s="251" t="s">
        <v>541</v>
      </c>
      <c r="B91" s="252">
        <v>530805</v>
      </c>
      <c r="C91" s="277" t="s">
        <v>620</v>
      </c>
      <c r="D91" s="253" t="s">
        <v>416</v>
      </c>
      <c r="E91" s="263" t="s">
        <v>621</v>
      </c>
      <c r="F91" s="253" t="s">
        <v>66</v>
      </c>
      <c r="G91" s="253" t="s">
        <v>7</v>
      </c>
      <c r="H91" s="270">
        <f>10.75/1.12</f>
        <v>9.5982142857142847</v>
      </c>
      <c r="I91" s="270">
        <f>10.75/1.12</f>
        <v>9.5982142857142847</v>
      </c>
      <c r="J91" s="270">
        <f t="shared" si="8"/>
        <v>1.1517857142857142</v>
      </c>
      <c r="K91" s="303">
        <v>10.75</v>
      </c>
      <c r="L91" s="270">
        <f t="shared" si="10"/>
        <v>0</v>
      </c>
      <c r="M91" s="254">
        <f t="shared" si="7"/>
        <v>0</v>
      </c>
      <c r="N91" s="255" t="s">
        <v>544</v>
      </c>
      <c r="O91" s="260" t="s">
        <v>545</v>
      </c>
      <c r="P91" s="256"/>
      <c r="Q91" s="256" t="s">
        <v>546</v>
      </c>
      <c r="R91" s="257" t="s">
        <v>554</v>
      </c>
      <c r="S91" s="258">
        <v>44354</v>
      </c>
      <c r="T91" s="259"/>
      <c r="U91" s="251">
        <v>20</v>
      </c>
      <c r="V91" s="260">
        <f t="shared" si="11"/>
        <v>44374</v>
      </c>
      <c r="W91" s="258"/>
    </row>
    <row r="92" spans="1:23" s="201" customFormat="1" ht="22.5" x14ac:dyDescent="0.25">
      <c r="A92" s="251" t="s">
        <v>541</v>
      </c>
      <c r="B92" s="252">
        <v>530805</v>
      </c>
      <c r="C92" s="277" t="s">
        <v>622</v>
      </c>
      <c r="D92" s="253" t="s">
        <v>416</v>
      </c>
      <c r="E92" s="263" t="s">
        <v>623</v>
      </c>
      <c r="F92" s="253" t="s">
        <v>66</v>
      </c>
      <c r="G92" s="253" t="s">
        <v>7</v>
      </c>
      <c r="H92" s="270">
        <f>10.75/1.12</f>
        <v>9.5982142857142847</v>
      </c>
      <c r="I92" s="270">
        <f>10.75/1.12</f>
        <v>9.5982142857142847</v>
      </c>
      <c r="J92" s="270">
        <f t="shared" si="8"/>
        <v>1.1517857142857142</v>
      </c>
      <c r="K92" s="303">
        <v>10.75</v>
      </c>
      <c r="L92" s="270">
        <f t="shared" si="10"/>
        <v>0</v>
      </c>
      <c r="M92" s="254">
        <f t="shared" si="7"/>
        <v>0</v>
      </c>
      <c r="N92" s="255" t="s">
        <v>544</v>
      </c>
      <c r="O92" s="260" t="s">
        <v>545</v>
      </c>
      <c r="P92" s="256"/>
      <c r="Q92" s="256" t="s">
        <v>546</v>
      </c>
      <c r="R92" s="257" t="s">
        <v>554</v>
      </c>
      <c r="S92" s="258">
        <v>44354</v>
      </c>
      <c r="T92" s="259"/>
      <c r="U92" s="251">
        <v>20</v>
      </c>
      <c r="V92" s="260">
        <f t="shared" si="11"/>
        <v>44374</v>
      </c>
      <c r="W92" s="258"/>
    </row>
    <row r="93" spans="1:23" s="201" customFormat="1" ht="22.5" x14ac:dyDescent="0.25">
      <c r="A93" s="251" t="s">
        <v>541</v>
      </c>
      <c r="B93" s="252">
        <v>530805</v>
      </c>
      <c r="C93" s="277" t="s">
        <v>624</v>
      </c>
      <c r="D93" s="253" t="s">
        <v>416</v>
      </c>
      <c r="E93" s="263" t="s">
        <v>625</v>
      </c>
      <c r="F93" s="253" t="s">
        <v>66</v>
      </c>
      <c r="G93" s="253" t="s">
        <v>7</v>
      </c>
      <c r="H93" s="270">
        <f>2.46/1.12</f>
        <v>2.1964285714285712</v>
      </c>
      <c r="I93" s="270">
        <f>2.46/1.12</f>
        <v>2.1964285714285712</v>
      </c>
      <c r="J93" s="270">
        <f t="shared" si="8"/>
        <v>0.26357142857142851</v>
      </c>
      <c r="K93" s="303">
        <v>2.46</v>
      </c>
      <c r="L93" s="270">
        <f t="shared" si="10"/>
        <v>0</v>
      </c>
      <c r="M93" s="254">
        <f t="shared" si="7"/>
        <v>0</v>
      </c>
      <c r="N93" s="255" t="s">
        <v>544</v>
      </c>
      <c r="O93" s="260" t="s">
        <v>545</v>
      </c>
      <c r="P93" s="256"/>
      <c r="Q93" s="256" t="s">
        <v>546</v>
      </c>
      <c r="R93" s="257" t="s">
        <v>554</v>
      </c>
      <c r="S93" s="258">
        <v>44354</v>
      </c>
      <c r="T93" s="259"/>
      <c r="U93" s="251">
        <v>20</v>
      </c>
      <c r="V93" s="260">
        <f t="shared" si="11"/>
        <v>44374</v>
      </c>
      <c r="W93" s="258"/>
    </row>
    <row r="94" spans="1:23" s="201" customFormat="1" ht="22.5" x14ac:dyDescent="0.25">
      <c r="A94" s="251" t="s">
        <v>541</v>
      </c>
      <c r="B94" s="252">
        <v>530805</v>
      </c>
      <c r="C94" s="277" t="s">
        <v>626</v>
      </c>
      <c r="D94" s="253" t="s">
        <v>416</v>
      </c>
      <c r="E94" s="263" t="s">
        <v>627</v>
      </c>
      <c r="F94" s="253" t="s">
        <v>66</v>
      </c>
      <c r="G94" s="253" t="s">
        <v>7</v>
      </c>
      <c r="H94" s="270">
        <f>20.61/1.12</f>
        <v>18.401785714285712</v>
      </c>
      <c r="I94" s="270">
        <f>20.61/1.12</f>
        <v>18.401785714285712</v>
      </c>
      <c r="J94" s="270">
        <f t="shared" si="8"/>
        <v>2.2082142857142855</v>
      </c>
      <c r="K94" s="304">
        <v>20.61</v>
      </c>
      <c r="L94" s="270">
        <f t="shared" si="10"/>
        <v>0</v>
      </c>
      <c r="M94" s="254">
        <f t="shared" si="7"/>
        <v>0</v>
      </c>
      <c r="N94" s="255" t="s">
        <v>544</v>
      </c>
      <c r="O94" s="260" t="s">
        <v>545</v>
      </c>
      <c r="P94" s="256"/>
      <c r="Q94" s="256" t="s">
        <v>546</v>
      </c>
      <c r="R94" s="257" t="s">
        <v>554</v>
      </c>
      <c r="S94" s="258">
        <v>44354</v>
      </c>
      <c r="T94" s="259"/>
      <c r="U94" s="251">
        <v>20</v>
      </c>
      <c r="V94" s="260">
        <f t="shared" si="11"/>
        <v>44374</v>
      </c>
      <c r="W94" s="258"/>
    </row>
    <row r="95" spans="1:23" s="201" customFormat="1" ht="22.5" x14ac:dyDescent="0.25">
      <c r="A95" s="251" t="s">
        <v>541</v>
      </c>
      <c r="B95" s="252">
        <v>530805</v>
      </c>
      <c r="C95" s="277" t="s">
        <v>628</v>
      </c>
      <c r="D95" s="253" t="s">
        <v>416</v>
      </c>
      <c r="E95" s="263" t="s">
        <v>629</v>
      </c>
      <c r="F95" s="253" t="s">
        <v>66</v>
      </c>
      <c r="G95" s="253" t="s">
        <v>7</v>
      </c>
      <c r="H95" s="270">
        <f>1.3/1.12</f>
        <v>1.1607142857142856</v>
      </c>
      <c r="I95" s="270">
        <f>1.3/1.12</f>
        <v>1.1607142857142856</v>
      </c>
      <c r="J95" s="270">
        <f t="shared" si="8"/>
        <v>0.13928571428571426</v>
      </c>
      <c r="K95" s="303">
        <v>1.3</v>
      </c>
      <c r="L95" s="270">
        <f t="shared" ref="L95:L99" si="12">H95-I95</f>
        <v>0</v>
      </c>
      <c r="M95" s="254">
        <f t="shared" ref="M95:M99" si="13">L95/H95</f>
        <v>0</v>
      </c>
      <c r="N95" s="255" t="s">
        <v>544</v>
      </c>
      <c r="O95" s="260" t="s">
        <v>545</v>
      </c>
      <c r="P95" s="256"/>
      <c r="Q95" s="256" t="s">
        <v>546</v>
      </c>
      <c r="R95" s="257" t="s">
        <v>554</v>
      </c>
      <c r="S95" s="258">
        <v>44354</v>
      </c>
      <c r="T95" s="259"/>
      <c r="U95" s="251">
        <v>20</v>
      </c>
      <c r="V95" s="260">
        <f t="shared" si="11"/>
        <v>44374</v>
      </c>
      <c r="W95" s="258"/>
    </row>
    <row r="96" spans="1:23" s="201" customFormat="1" ht="22.5" x14ac:dyDescent="0.25">
      <c r="A96" s="251" t="s">
        <v>541</v>
      </c>
      <c r="B96" s="252">
        <v>530805</v>
      </c>
      <c r="C96" s="277" t="s">
        <v>630</v>
      </c>
      <c r="D96" s="253" t="s">
        <v>416</v>
      </c>
      <c r="E96" s="263" t="s">
        <v>631</v>
      </c>
      <c r="F96" s="253" t="s">
        <v>66</v>
      </c>
      <c r="G96" s="253" t="s">
        <v>7</v>
      </c>
      <c r="H96" s="270">
        <f>4.54/0.12</f>
        <v>37.833333333333336</v>
      </c>
      <c r="I96" s="270">
        <f>4.54/0.12</f>
        <v>37.833333333333336</v>
      </c>
      <c r="J96" s="270">
        <f t="shared" si="8"/>
        <v>4.54</v>
      </c>
      <c r="K96" s="303">
        <v>4.54</v>
      </c>
      <c r="L96" s="270">
        <f t="shared" si="12"/>
        <v>0</v>
      </c>
      <c r="M96" s="254">
        <f t="shared" si="13"/>
        <v>0</v>
      </c>
      <c r="N96" s="255" t="s">
        <v>544</v>
      </c>
      <c r="O96" s="260" t="s">
        <v>545</v>
      </c>
      <c r="P96" s="256"/>
      <c r="Q96" s="256" t="s">
        <v>546</v>
      </c>
      <c r="R96" s="257" t="s">
        <v>554</v>
      </c>
      <c r="S96" s="258">
        <v>44354</v>
      </c>
      <c r="T96" s="259"/>
      <c r="U96" s="251">
        <v>20</v>
      </c>
      <c r="V96" s="260">
        <f t="shared" si="11"/>
        <v>44374</v>
      </c>
      <c r="W96" s="258"/>
    </row>
    <row r="97" spans="1:23" s="201" customFormat="1" ht="22.5" x14ac:dyDescent="0.25">
      <c r="A97" s="251" t="s">
        <v>541</v>
      </c>
      <c r="B97" s="252">
        <v>530805</v>
      </c>
      <c r="C97" s="277" t="s">
        <v>632</v>
      </c>
      <c r="D97" s="253" t="s">
        <v>416</v>
      </c>
      <c r="E97" s="263" t="s">
        <v>633</v>
      </c>
      <c r="F97" s="253" t="s">
        <v>66</v>
      </c>
      <c r="G97" s="253" t="s">
        <v>7</v>
      </c>
      <c r="H97" s="270">
        <f>23.07/1.12</f>
        <v>20.598214285714285</v>
      </c>
      <c r="I97" s="270">
        <f>23.07/1.12</f>
        <v>20.598214285714285</v>
      </c>
      <c r="J97" s="270">
        <f t="shared" si="8"/>
        <v>2.4717857142857143</v>
      </c>
      <c r="K97" s="303">
        <v>23.07</v>
      </c>
      <c r="L97" s="270">
        <f t="shared" si="12"/>
        <v>0</v>
      </c>
      <c r="M97" s="254">
        <f t="shared" si="13"/>
        <v>0</v>
      </c>
      <c r="N97" s="255" t="s">
        <v>544</v>
      </c>
      <c r="O97" s="260" t="s">
        <v>545</v>
      </c>
      <c r="P97" s="256"/>
      <c r="Q97" s="256" t="s">
        <v>546</v>
      </c>
      <c r="R97" s="257" t="s">
        <v>554</v>
      </c>
      <c r="S97" s="258">
        <v>44354</v>
      </c>
      <c r="T97" s="259"/>
      <c r="U97" s="251">
        <v>20</v>
      </c>
      <c r="V97" s="260">
        <f t="shared" si="11"/>
        <v>44374</v>
      </c>
      <c r="W97" s="258"/>
    </row>
    <row r="98" spans="1:23" s="201" customFormat="1" ht="22.5" x14ac:dyDescent="0.25">
      <c r="A98" s="251" t="s">
        <v>541</v>
      </c>
      <c r="B98" s="252">
        <v>530805</v>
      </c>
      <c r="C98" s="277" t="s">
        <v>634</v>
      </c>
      <c r="D98" s="253" t="s">
        <v>416</v>
      </c>
      <c r="E98" s="263" t="s">
        <v>635</v>
      </c>
      <c r="F98" s="253" t="s">
        <v>66</v>
      </c>
      <c r="G98" s="253" t="s">
        <v>7</v>
      </c>
      <c r="H98" s="270">
        <f>480.48/1.12</f>
        <v>429</v>
      </c>
      <c r="I98" s="270">
        <f>480.48/1.12</f>
        <v>429</v>
      </c>
      <c r="J98" s="270">
        <f t="shared" si="8"/>
        <v>51.48</v>
      </c>
      <c r="K98" s="303">
        <v>480.48</v>
      </c>
      <c r="L98" s="270">
        <f t="shared" si="12"/>
        <v>0</v>
      </c>
      <c r="M98" s="254">
        <f t="shared" si="13"/>
        <v>0</v>
      </c>
      <c r="N98" s="255" t="s">
        <v>544</v>
      </c>
      <c r="O98" s="260" t="s">
        <v>545</v>
      </c>
      <c r="P98" s="256"/>
      <c r="Q98" s="256" t="s">
        <v>546</v>
      </c>
      <c r="R98" s="257" t="s">
        <v>554</v>
      </c>
      <c r="S98" s="258">
        <v>44354</v>
      </c>
      <c r="T98" s="259"/>
      <c r="U98" s="251">
        <v>20</v>
      </c>
      <c r="V98" s="260">
        <f t="shared" si="11"/>
        <v>44374</v>
      </c>
      <c r="W98" s="258"/>
    </row>
    <row r="99" spans="1:23" s="201" customFormat="1" ht="21" x14ac:dyDescent="0.25">
      <c r="A99" s="251" t="s">
        <v>541</v>
      </c>
      <c r="B99" s="252">
        <v>530805</v>
      </c>
      <c r="C99" s="277" t="s">
        <v>636</v>
      </c>
      <c r="D99" s="253" t="s">
        <v>416</v>
      </c>
      <c r="E99" s="263" t="s">
        <v>637</v>
      </c>
      <c r="F99" s="253" t="s">
        <v>66</v>
      </c>
      <c r="G99" s="253" t="s">
        <v>7</v>
      </c>
      <c r="H99" s="270">
        <v>1520.1</v>
      </c>
      <c r="I99" s="270">
        <v>1520.1</v>
      </c>
      <c r="J99" s="270">
        <v>0</v>
      </c>
      <c r="K99" s="303">
        <v>1520.1</v>
      </c>
      <c r="L99" s="270">
        <f t="shared" si="12"/>
        <v>0</v>
      </c>
      <c r="M99" s="254">
        <f t="shared" si="13"/>
        <v>0</v>
      </c>
      <c r="N99" s="255" t="s">
        <v>638</v>
      </c>
      <c r="O99" s="260" t="s">
        <v>639</v>
      </c>
      <c r="P99" s="256"/>
      <c r="Q99" s="256" t="s">
        <v>546</v>
      </c>
      <c r="R99" s="262" t="s">
        <v>640</v>
      </c>
      <c r="S99" s="258">
        <v>44357</v>
      </c>
      <c r="T99" s="259"/>
      <c r="U99" s="251">
        <v>20</v>
      </c>
      <c r="V99" s="260">
        <f t="shared" si="11"/>
        <v>44377</v>
      </c>
      <c r="W99" s="256"/>
    </row>
    <row r="100" spans="1:23" s="261" customFormat="1" x14ac:dyDescent="0.25">
      <c r="A100" s="240"/>
      <c r="B100" s="240"/>
      <c r="C100" s="240"/>
      <c r="D100" s="240"/>
      <c r="E100" s="240"/>
      <c r="F100" s="267"/>
      <c r="G100" s="240"/>
      <c r="H100" s="240"/>
      <c r="I100" s="240"/>
      <c r="J100" s="240"/>
      <c r="K100" s="305">
        <f>SUBTOTAL(9,K23:K99)</f>
        <v>2360520.5107999993</v>
      </c>
      <c r="L100" s="240"/>
      <c r="M100" s="267"/>
      <c r="N100" s="240"/>
      <c r="O100" s="240"/>
      <c r="P100" s="240"/>
      <c r="Q100" s="240"/>
      <c r="R100" s="240"/>
      <c r="S100" s="267"/>
      <c r="T100" s="240"/>
      <c r="U100" s="267"/>
      <c r="V100" s="267"/>
      <c r="W100" s="240"/>
    </row>
    <row r="101" spans="1:23" s="261" customFormat="1" x14ac:dyDescent="0.25">
      <c r="A101" s="240"/>
      <c r="B101" s="240"/>
      <c r="C101" s="240"/>
      <c r="D101" s="240"/>
      <c r="E101" s="240"/>
      <c r="F101" s="267"/>
      <c r="G101" s="240"/>
      <c r="H101" s="240"/>
      <c r="I101" s="240"/>
      <c r="J101" s="240"/>
      <c r="K101" s="306"/>
      <c r="L101" s="240"/>
      <c r="M101" s="267"/>
      <c r="N101" s="240"/>
      <c r="O101" s="240"/>
      <c r="P101" s="240"/>
      <c r="Q101" s="240"/>
      <c r="R101" s="240"/>
      <c r="S101" s="267"/>
      <c r="T101" s="240"/>
      <c r="U101" s="267"/>
      <c r="V101" s="267"/>
      <c r="W101" s="240"/>
    </row>
    <row r="102" spans="1:23" x14ac:dyDescent="0.25">
      <c r="D102" s="242"/>
      <c r="E102" s="242"/>
      <c r="F102" s="268"/>
      <c r="G102" s="243"/>
      <c r="H102" s="279"/>
      <c r="I102" s="243"/>
      <c r="J102" s="243"/>
      <c r="K102" s="307"/>
      <c r="L102" s="244"/>
      <c r="M102" s="312"/>
      <c r="N102" s="245"/>
      <c r="O102" s="245"/>
      <c r="P102" s="246"/>
    </row>
    <row r="103" spans="1:23" x14ac:dyDescent="0.25">
      <c r="F103" s="269"/>
      <c r="G103" s="241"/>
      <c r="H103" s="278"/>
      <c r="I103" s="247"/>
      <c r="J103" s="247"/>
      <c r="K103" s="305"/>
    </row>
    <row r="104" spans="1:23" x14ac:dyDescent="0.25">
      <c r="H104" s="278"/>
    </row>
    <row r="105" spans="1:23" x14ac:dyDescent="0.25">
      <c r="H105" s="278"/>
    </row>
    <row r="106" spans="1:23" x14ac:dyDescent="0.25">
      <c r="H106" s="278"/>
    </row>
    <row r="109" spans="1:23" x14ac:dyDescent="0.25">
      <c r="H109" s="278"/>
    </row>
  </sheetData>
  <autoFilter ref="A1:W99">
    <filterColumn colId="0">
      <filters>
        <filter val="Catalogo Electrónico"/>
        <filter val="Cotizacion"/>
        <filter val="Ínfima Cuantía"/>
        <filter val="Menor Cuantias"/>
        <filter val="Regimen Especial"/>
        <filter val="Subasta Inversa"/>
      </filters>
    </filterColumn>
    <filterColumn colId="5">
      <filters>
        <filter val="Adjudicado - Registro de Contratos"/>
        <filter val="Desierta"/>
        <filter val="Finalizada"/>
      </filters>
    </filterColumn>
  </autoFilter>
  <hyperlinks>
    <hyperlink ref="C2" r:id="rId1" display="https://www.compraspublicas.gob.ec/ProcesoContratacion/compras/PC/informacionProcesoContratacion2.cpe?idSoliCompra=s4xw8WnUrmIFftauVCa_W1oQFY2C7JBs2pbgN9TRT40,"/>
    <hyperlink ref="C3" r:id="rId2" display="https://www.compraspublicas.gob.ec/ProcesoContratacion/compras/PC/informacionProcesoContratacion2.cpe?idSoliCompra=ss-cQ8rP9EP8RZAl3Gi53oR2EUcx6JFheOyi_aDuhGM,"/>
    <hyperlink ref="C4" r:id="rId3" display="https://www.compraspublicas.gob.ec/ProcesoContratacion/compras/PC/informacionProcesoContratacion2.cpe?idSoliCompra=lWCOCo6r3thKbM4NCCkZ5N1dcRr1oXvpgm6bCFlIxAI,"/>
    <hyperlink ref="C5" r:id="rId4" display="https://www.compraspublicas.gob.ec/ProcesoContratacion/compras/PC/informacionProcesoContratacion2.cpe?idSoliCompra=Pc4GV9yol7CyZ4DmTpAHxGmpFgfsBg_4FVK99TW6igM,"/>
    <hyperlink ref="C6" r:id="rId5" display="https://www.compraspublicas.gob.ec/ProcesoContratacion/compras/PC/informacionProcesoContratacion2.cpe?idSoliCompra=cUgCB-9tDbqMmcG2rR5O5dcQoMTFgSEENSCT7zTzBXg,"/>
    <hyperlink ref="C7" r:id="rId6" display="https://www.compraspublicas.gob.ec/ProcesoContratacion/compras/PC/informacionProcesoContratacion2.cpe?idSoliCompra=bRI1cXZWBarf7l54WnXpqhq_vo3Hpp_k1wK2N1cB9gk,"/>
    <hyperlink ref="C8" r:id="rId7" display="https://www.compraspublicas.gob.ec/ProcesoContratacion/compras/PC/informacionProcesoContratacion2.cpe?idSoliCompra=--Kn_FDKXRMudyVI465cb5KiXDjF15V24Sm_F6jvo9s,"/>
    <hyperlink ref="C9" r:id="rId8" display="https://www.compraspublicas.gob.ec/ProcesoContratacion/compras/PC/informacionProcesoContratacion2.cpe?idSoliCompra=Zi_S9RsaXe5dPymMtN_2kgUP1c2M1omUDgtz355ckEI,"/>
    <hyperlink ref="C10" r:id="rId9" display="https://www.compraspublicas.gob.ec/ProcesoContratacion/compras/PC/informacionProcesoContratacion2.cpe?idSoliCompra=rRpLGx1ociAYp8IEeUreMD7Gv80H8gJ24rdJgRCspFs,"/>
    <hyperlink ref="C11" r:id="rId10" display="https://www.compraspublicas.gob.ec/ProcesoContratacion/compras/PC/informacionProcesoContratacion2.cpe?idSoliCompra=TulClpW6yrsvQ-MwlhVX7Pg04eimqvsid9Y0L75sPn8,"/>
    <hyperlink ref="C12" r:id="rId11" display="https://www.compraspublicas.gob.ec/ProcesoContratacion/compras/SC/sci.cpe?idSoliCompra=PZQ6CrGT5Fsodd6dzuyrR3qH2mV-8N0C86yALoetFEw,"/>
    <hyperlink ref="C13" r:id="rId12" display="https://www.compraspublicas.gob.ec/ProcesoContratacion/compras/PC/informacionProcesoContratacion2.cpe?idSoliCompra=k7XUS5znbSvGpXCkBt3puNp8K60UvAvPcIKZDCN9wTU,"/>
    <hyperlink ref="C14" r:id="rId13" display="https://www.compraspublicas.gob.ec/ProcesoContratacion/compras/PC/informacionProcesoContratacion2.cpe?idSoliCompra=TCjpXA9FR_xFl61sGtebzKMG1XDsL3ZEY-sPFNv5ihU,"/>
    <hyperlink ref="C15" r:id="rId14" display="https://www.compraspublicas.gob.ec/ProcesoContratacion/compras/PC/informacionProcesoContratacion2.cpe?idSoliCompra=VhaZcISCcx04TQlsL2dw8DYdl5iD3RDxB8Ql1_VJw7w,"/>
    <hyperlink ref="C16" r:id="rId15" display="https://www.compraspublicas.gob.ec/ProcesoContratacion/compras/PC/informacionProcesoContratacion2.cpe?idSoliCompra=dVR2DZk0qbJx3NQKGPNnG2DHww38pAaLQ76uYqWCDq4,"/>
    <hyperlink ref="C17" r:id="rId16" display="https://www.compraspublicas.gob.ec/ProcesoContratacion/compras/PC/informacionProcesoContratacion2.cpe?idSoliCompra=FB0AezsbcKLzQO82GNbMSmrLDoDptjBP7_IH9EJfBOY,"/>
    <hyperlink ref="C18" r:id="rId17" display="https://www.compraspublicas.gob.ec/ProcesoContratacion/compras/PC/informacionProcesoContratacion2.cpe?idSoliCompra=Fep8A3GS1-GkT2kVIMNkQcB5h9_T3LMt9qpwvIzwVyY,"/>
    <hyperlink ref="C19" r:id="rId18" display="https://www.compraspublicas.gob.ec/ProcesoContratacion/compras/PC/informacionProcesoContratacion2.cpe?idSoliCompra=wgem5qnZFNA3V-hhYcq1_db6j6gYG3u5G3NDTHdsa8k,"/>
    <hyperlink ref="C20" r:id="rId19" display="https://www.compraspublicas.gob.ec/ProcesoContratacion/compras/PC/informacionProcesoContratacion2.cpe?idSoliCompra=xpeY4fkjZQPtaFxBHk5vncT3jpTsPfqZS5lO6oenKbI,"/>
    <hyperlink ref="C21" r:id="rId20" display="https://www.compraspublicas.gob.ec/ProcesoContratacion/compras/PC/informacionProcesoContratacion2.cpe?idSoliCompra=GQVzewSShQn4ldCScA1-jnM5-mJHprbxacyXiaLCrzc,"/>
    <hyperlink ref="C22" r:id="rId21" display="https://www.compraspublicas.gob.ec/ProcesoContratacion/compras/PC/informacionProcesoContratacion2.cpe?idSoliCompra=X7FG0OqtNwizE6GvJThT44Tsy2_LPUXHyG6eGzrPQoo,"/>
    <hyperlink ref="C41" r:id="rId22" display="https://www.compraspublicas.gob.ec/ProcesoContratacion/compras/PC/informacionProcesoContratacion2.cpe?idSoliCompra=PYKkWWif5OyaUWaRWM-_xK_2Jak-N6tQ8pB1SQ_jQWA,"/>
    <hyperlink ref="C42" r:id="rId23" display="https://www.compraspublicas.gob.ec/ProcesoContratacion/compras/PC/informacionProcesoContratacion2.cpe?idSoliCompra=F94DUX9QC65lXXddqGO799UsZjS7dSF7kxh4sNBoXT0,"/>
    <hyperlink ref="C43" r:id="rId24" display="https://www.compraspublicas.gob.ec/ProcesoContratacion/compras/PC/informacionProcesoContratacion2.cpe?idSoliCompra=Lj_vNQFtkKYE8MEXVW-vwpAsX3e3JpRLuwnILe4o3bY,"/>
    <hyperlink ref="C44" r:id="rId25" display="https://www.compraspublicas.gob.ec/ProcesoContratacion/compras/PC/informacionProcesoContratacion2.cpe?idSoliCompra=h6kpw5JJwEDJbzUaCteiqzdXf-anEvGpDp_3M1Ky5F0,"/>
    <hyperlink ref="C45" r:id="rId26" display="https://www.compraspublicas.gob.ec/ProcesoContratacion/compras/PC/informacionProcesoContratacion2.cpe?idSoliCompra=AcTDVJWEY1-D9c7b8N0Z2era4rdpAzeiKFkmOyXU94s,"/>
    <hyperlink ref="C57" r:id="rId27" display="https://www.compraspublicas.gob.ec/ProcesoContratacion/compras/PC/informacionProcesoContratacion2.cpe?idSoliCompra=p84JG2Mn5f6E6xfmjWms4JFBjsPrdX9b_YqOo30S-t4,"/>
    <hyperlink ref="C46" r:id="rId28" display="https://www.compraspublicas.gob.ec/ProcesoContratacion/compras/PC/informacionProcesoContratacion2.cpe?idSoliCompra=WwcCeR6fNG-lSA13XhE6LePjSh9S3h_sP3VN-TGUBiM,"/>
    <hyperlink ref="C47" r:id="rId29" display="https://www.compraspublicas.gob.ec/ProcesoContratacion/compras/PC/informacionProcesoContratacion2.cpe?idSoliCompra=eoC6TdfrQ7yHG9WHluhwroav3pEch_grP53RpKBcZ_g,"/>
    <hyperlink ref="C48" r:id="rId30" display="https://www.compraspublicas.gob.ec/ProcesoContratacion/compras/PC/informacionProcesoContratacion2.cpe?idSoliCompra=Ziw1ttAus1YPFCKfbdmR9cenqiC1HUus1ao8mQDmU_w,"/>
    <hyperlink ref="C49" r:id="rId31" display="https://www.compraspublicas.gob.ec/ProcesoContratacion/compras/PC/informacionProcesoContratacion2.cpe?idSoliCompra=VCYDXqqBol2pthnrLvwWpdv2PYRMkvXIE55VmZ9DFfg,"/>
    <hyperlink ref="C50" r:id="rId32" display="https://www.compraspublicas.gob.ec/ProcesoContratacion/compras/PC/informacionProcesoContratacion2.cpe?idSoliCompra=Tqp3p0NLcox6RNcjNMIAlOVL8YZOlgE5YNmQDQpmks0,"/>
    <hyperlink ref="C51" r:id="rId33" display="https://www.compraspublicas.gob.ec/ProcesoContratacion/compras/PC/informacionProcesoContratacion2.cpe?idSoliCompra=P4rvqTbJptYfJDTBenynjbZ3jakYH-n7jEgxtleRqWc,"/>
    <hyperlink ref="C52" r:id="rId34" display="https://www.compraspublicas.gob.ec/ProcesoContratacion/compras/PC/informacionProcesoContratacion2.cpe?idSoliCompra=4SOhU9P22iyyj7gmFHRO8I7oHs1VKb08-SxbbYKeGN0,"/>
    <hyperlink ref="C53" r:id="rId35" display="https://www.compraspublicas.gob.ec/ProcesoContratacion/compras/PC/informacionProcesoContratacion2.cpe?idSoliCompra=2BNt59Ph9imrLIHTDFyfSoZD8ZT0BVf4ODFNZzDsMbo,"/>
    <hyperlink ref="C54" r:id="rId36" display="https://www.compraspublicas.gob.ec/ProcesoContratacion/compras/PC/informacionProcesoContratacion2.cpe?idSoliCompra=eo5lMKxCjVltlX1B4u2Hu3PRXxPj2HfP5JJ25OHsB-Q,"/>
    <hyperlink ref="C55" r:id="rId37" display="https://www.compraspublicas.gob.ec/ProcesoContratacion/compras/PC/informacionProcesoContratacion2.cpe?idSoliCompra=k2yA15JsaaqYhrNu2ofrBpPazVzmY4Ze4KLZJDpLYGw,"/>
    <hyperlink ref="C56" r:id="rId38" display="https://www.compraspublicas.gob.ec/ProcesoContratacion/compras/PC/informacionProcesoContratacion2.cpe?idSoliCompra=HsUOuVE8aV-Pw1gyT8TlJXkElLqCII147dpLFedvso8,"/>
    <hyperlink ref="C23" r:id="rId39"/>
    <hyperlink ref="C24" r:id="rId40"/>
    <hyperlink ref="C25" r:id="rId41"/>
    <hyperlink ref="C26" r:id="rId42"/>
    <hyperlink ref="C27" r:id="rId43"/>
    <hyperlink ref="C28" r:id="rId44"/>
    <hyperlink ref="C29" r:id="rId45"/>
    <hyperlink ref="C30" r:id="rId46"/>
    <hyperlink ref="C31" r:id="rId47"/>
    <hyperlink ref="C32" r:id="rId48"/>
    <hyperlink ref="C33" r:id="rId49"/>
    <hyperlink ref="C34" r:id="rId50"/>
    <hyperlink ref="C35" r:id="rId51"/>
    <hyperlink ref="C36" r:id="rId52"/>
    <hyperlink ref="C37" r:id="rId53"/>
    <hyperlink ref="C38" r:id="rId54"/>
    <hyperlink ref="C39" r:id="rId55"/>
    <hyperlink ref="C40" r:id="rId56"/>
    <hyperlink ref="C58" r:id="rId57"/>
    <hyperlink ref="C59" r:id="rId58"/>
    <hyperlink ref="C60" r:id="rId59"/>
    <hyperlink ref="C61" r:id="rId60"/>
    <hyperlink ref="C62" r:id="rId61"/>
    <hyperlink ref="C63" r:id="rId62"/>
    <hyperlink ref="C64" r:id="rId63"/>
    <hyperlink ref="C65" r:id="rId64"/>
    <hyperlink ref="C66" r:id="rId65"/>
    <hyperlink ref="C67" r:id="rId66"/>
    <hyperlink ref="C68" r:id="rId67"/>
    <hyperlink ref="C69" r:id="rId68"/>
    <hyperlink ref="C70" r:id="rId69"/>
    <hyperlink ref="C71" r:id="rId70"/>
    <hyperlink ref="C72" r:id="rId71"/>
    <hyperlink ref="C73" r:id="rId72"/>
    <hyperlink ref="C74" r:id="rId73"/>
    <hyperlink ref="C75" r:id="rId74"/>
    <hyperlink ref="C76" r:id="rId75"/>
    <hyperlink ref="C77" r:id="rId76"/>
    <hyperlink ref="C78" r:id="rId77"/>
    <hyperlink ref="C79" r:id="rId78"/>
    <hyperlink ref="C80:C83" r:id="rId79" display="CE-20210002026492"/>
    <hyperlink ref="C84:C90" r:id="rId80" display="CE-20210002026496"/>
    <hyperlink ref="C91:C99" r:id="rId81" display="CE-20210002026503"/>
  </hyperlinks>
  <pageMargins left="0.7" right="0.7" top="0.75" bottom="0.75" header="0.3" footer="0.3"/>
  <pageSetup orientation="portrait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5" zoomScaleNormal="100" workbookViewId="0">
      <selection activeCell="A19" sqref="A19"/>
    </sheetView>
  </sheetViews>
  <sheetFormatPr baseColWidth="10" defaultRowHeight="15" x14ac:dyDescent="0.25"/>
  <cols>
    <col min="1" max="1" width="7.5703125" style="113" customWidth="1"/>
    <col min="2" max="2" width="20.42578125" customWidth="1"/>
    <col min="3" max="5" width="19.5703125" customWidth="1"/>
    <col min="7" max="7" width="12.7109375" customWidth="1"/>
    <col min="8" max="8" width="39" customWidth="1"/>
    <col min="9" max="9" width="18.28515625" customWidth="1"/>
    <col min="11" max="11" width="13" bestFit="1" customWidth="1"/>
  </cols>
  <sheetData>
    <row r="1" spans="1:10" hidden="1" x14ac:dyDescent="0.25"/>
    <row r="2" spans="1:10" ht="23.25" hidden="1" x14ac:dyDescent="0.25">
      <c r="A2" s="281" t="s">
        <v>36</v>
      </c>
      <c r="B2" s="282"/>
      <c r="C2" s="282"/>
      <c r="D2" s="282"/>
      <c r="E2" s="282"/>
    </row>
    <row r="3" spans="1:10" ht="20.25" hidden="1" customHeight="1" x14ac:dyDescent="0.25">
      <c r="A3" s="280" t="s">
        <v>23</v>
      </c>
      <c r="B3" s="280" t="s">
        <v>37</v>
      </c>
      <c r="C3" s="283" t="s">
        <v>72</v>
      </c>
      <c r="D3" s="177"/>
      <c r="E3" s="177"/>
    </row>
    <row r="4" spans="1:10" ht="20.25" hidden="1" customHeight="1" x14ac:dyDescent="0.25">
      <c r="A4" s="280"/>
      <c r="B4" s="280"/>
      <c r="C4" s="284"/>
      <c r="D4" s="178"/>
      <c r="E4" s="178"/>
    </row>
    <row r="5" spans="1:10" ht="28.5" hidden="1" customHeight="1" x14ac:dyDescent="0.25">
      <c r="A5" s="111">
        <v>1</v>
      </c>
      <c r="B5" s="46" t="s">
        <v>29</v>
      </c>
      <c r="C5" s="99">
        <v>39</v>
      </c>
      <c r="D5" s="99"/>
      <c r="E5" s="99"/>
    </row>
    <row r="6" spans="1:10" ht="28.5" hidden="1" customHeight="1" x14ac:dyDescent="0.25">
      <c r="A6" s="112">
        <v>2</v>
      </c>
      <c r="B6" s="49" t="s">
        <v>28</v>
      </c>
      <c r="C6" s="100">
        <v>15</v>
      </c>
      <c r="D6" s="100"/>
      <c r="E6" s="100"/>
    </row>
    <row r="7" spans="1:10" ht="30" hidden="1" customHeight="1" x14ac:dyDescent="0.25">
      <c r="A7" s="111">
        <v>3</v>
      </c>
      <c r="B7" s="46" t="s">
        <v>21</v>
      </c>
      <c r="C7" s="99">
        <v>7</v>
      </c>
      <c r="D7" s="99"/>
      <c r="E7" s="99"/>
    </row>
    <row r="8" spans="1:10" ht="24.75" hidden="1" customHeight="1" x14ac:dyDescent="0.25">
      <c r="A8" s="112">
        <v>4</v>
      </c>
      <c r="B8" s="49" t="s">
        <v>32</v>
      </c>
      <c r="C8" s="100">
        <v>9</v>
      </c>
      <c r="D8" s="100"/>
      <c r="E8" s="100"/>
    </row>
    <row r="9" spans="1:10" ht="23.25" hidden="1" customHeight="1" x14ac:dyDescent="0.25">
      <c r="A9" s="111">
        <v>5</v>
      </c>
      <c r="B9" s="46" t="s">
        <v>31</v>
      </c>
      <c r="C9" s="99">
        <v>16</v>
      </c>
      <c r="D9" s="99"/>
      <c r="E9" s="99"/>
    </row>
    <row r="10" spans="1:10" ht="23.25" hidden="1" customHeight="1" x14ac:dyDescent="0.25">
      <c r="A10" s="112">
        <v>6</v>
      </c>
      <c r="B10" s="49" t="s">
        <v>34</v>
      </c>
      <c r="C10" s="100">
        <v>15</v>
      </c>
      <c r="D10" s="100"/>
      <c r="E10" s="100"/>
    </row>
    <row r="11" spans="1:10" ht="23.25" hidden="1" customHeight="1" x14ac:dyDescent="0.25">
      <c r="A11" s="111">
        <v>7</v>
      </c>
      <c r="B11" s="46" t="s">
        <v>35</v>
      </c>
      <c r="C11" s="99">
        <v>2</v>
      </c>
      <c r="D11" s="99"/>
      <c r="E11" s="99"/>
    </row>
    <row r="12" spans="1:10" ht="23.25" hidden="1" customHeight="1" x14ac:dyDescent="0.25">
      <c r="A12" s="112">
        <v>8</v>
      </c>
      <c r="B12" s="49" t="s">
        <v>33</v>
      </c>
      <c r="C12" s="100">
        <v>3</v>
      </c>
      <c r="D12" s="100"/>
      <c r="E12" s="100"/>
    </row>
    <row r="13" spans="1:10" ht="23.25" hidden="1" customHeight="1" x14ac:dyDescent="0.25">
      <c r="A13" s="111">
        <v>9</v>
      </c>
      <c r="B13" s="46" t="s">
        <v>30</v>
      </c>
      <c r="C13" s="99">
        <v>3</v>
      </c>
      <c r="D13" s="99"/>
      <c r="E13" s="99"/>
    </row>
    <row r="14" spans="1:10" hidden="1" x14ac:dyDescent="0.25">
      <c r="A14" s="287" t="s">
        <v>25</v>
      </c>
      <c r="B14" s="288"/>
      <c r="C14" s="101">
        <f>SUBTOTAL(9,C5:C13)</f>
        <v>109</v>
      </c>
      <c r="D14" s="101"/>
      <c r="E14" s="101"/>
    </row>
    <row r="15" spans="1:10" ht="23.25" x14ac:dyDescent="0.25">
      <c r="A15" s="281" t="s">
        <v>36</v>
      </c>
      <c r="B15" s="282"/>
      <c r="C15" s="282"/>
      <c r="D15" s="282"/>
      <c r="E15" s="282"/>
      <c r="G15" s="281" t="s">
        <v>414</v>
      </c>
      <c r="H15" s="282"/>
      <c r="I15" s="282"/>
      <c r="J15" s="282"/>
    </row>
    <row r="16" spans="1:10" ht="17.25" customHeight="1" x14ac:dyDescent="0.25">
      <c r="A16" s="280" t="s">
        <v>23</v>
      </c>
      <c r="B16" s="280" t="s">
        <v>37</v>
      </c>
      <c r="C16" s="283" t="s">
        <v>394</v>
      </c>
      <c r="D16" s="283" t="s">
        <v>413</v>
      </c>
      <c r="E16" s="289" t="s">
        <v>393</v>
      </c>
      <c r="G16" s="280" t="s">
        <v>408</v>
      </c>
      <c r="H16" s="280" t="s">
        <v>409</v>
      </c>
      <c r="I16" s="280" t="s">
        <v>410</v>
      </c>
      <c r="J16" s="280" t="s">
        <v>393</v>
      </c>
    </row>
    <row r="17" spans="1:11" ht="17.25" customHeight="1" x14ac:dyDescent="0.25">
      <c r="A17" s="280"/>
      <c r="B17" s="280"/>
      <c r="C17" s="284"/>
      <c r="D17" s="284"/>
      <c r="E17" s="290"/>
      <c r="G17" s="280"/>
      <c r="H17" s="280"/>
      <c r="I17" s="280"/>
      <c r="J17" s="280"/>
    </row>
    <row r="18" spans="1:11" ht="23.25" customHeight="1" x14ac:dyDescent="0.25">
      <c r="A18" s="182">
        <v>1</v>
      </c>
      <c r="B18" s="203" t="s">
        <v>29</v>
      </c>
      <c r="C18" s="183">
        <f>13767758.79</f>
        <v>13767758.789999999</v>
      </c>
      <c r="D18" s="183">
        <v>1147959.19</v>
      </c>
      <c r="E18" s="184">
        <f>C18/$C$28</f>
        <v>0.73971371296892041</v>
      </c>
      <c r="F18" s="185"/>
      <c r="G18" s="186">
        <v>99</v>
      </c>
      <c r="H18" s="179" t="s">
        <v>398</v>
      </c>
      <c r="I18" s="183">
        <v>102967.2</v>
      </c>
      <c r="J18" s="187">
        <f t="shared" ref="J18:J29" si="0">I18/$I$31</f>
        <v>5.5322184959643254E-3</v>
      </c>
    </row>
    <row r="19" spans="1:11" ht="23.25" customHeight="1" x14ac:dyDescent="0.25">
      <c r="A19" s="188">
        <v>2</v>
      </c>
      <c r="B19" s="204" t="s">
        <v>28</v>
      </c>
      <c r="C19" s="189">
        <f>3509015.66</f>
        <v>3509015.66</v>
      </c>
      <c r="D19" s="189">
        <v>42660</v>
      </c>
      <c r="E19" s="190">
        <f t="shared" ref="E19:E26" si="1">C19/$C$28</f>
        <v>0.18853228345415304</v>
      </c>
      <c r="F19" s="185"/>
      <c r="G19" s="191">
        <v>50</v>
      </c>
      <c r="H19" s="181" t="s">
        <v>399</v>
      </c>
      <c r="I19" s="189">
        <v>1277059.23</v>
      </c>
      <c r="J19" s="192">
        <f t="shared" si="0"/>
        <v>6.8613798303226267E-2</v>
      </c>
    </row>
    <row r="20" spans="1:11" ht="23.25" customHeight="1" x14ac:dyDescent="0.25">
      <c r="A20" s="182">
        <v>3</v>
      </c>
      <c r="B20" s="203" t="s">
        <v>21</v>
      </c>
      <c r="C20" s="183">
        <f>949019.84</f>
        <v>949019.84</v>
      </c>
      <c r="D20" s="183">
        <v>60000</v>
      </c>
      <c r="E20" s="184">
        <f t="shared" si="1"/>
        <v>5.0988908233739527E-2</v>
      </c>
      <c r="F20" s="185"/>
      <c r="G20" s="186">
        <v>3</v>
      </c>
      <c r="H20" s="179" t="s">
        <v>400</v>
      </c>
      <c r="I20" s="183">
        <v>41975</v>
      </c>
      <c r="J20" s="187">
        <f t="shared" si="0"/>
        <v>2.2552314850564311E-3</v>
      </c>
    </row>
    <row r="21" spans="1:11" ht="23.25" customHeight="1" x14ac:dyDescent="0.25">
      <c r="A21" s="188">
        <v>4</v>
      </c>
      <c r="B21" s="204" t="s">
        <v>32</v>
      </c>
      <c r="C21" s="189">
        <v>763454.41</v>
      </c>
      <c r="D21" s="189"/>
      <c r="E21" s="190">
        <f t="shared" si="1"/>
        <v>4.1018854623875681E-2</v>
      </c>
      <c r="F21" s="185"/>
      <c r="G21" s="191">
        <v>142</v>
      </c>
      <c r="H21" s="181" t="s">
        <v>401</v>
      </c>
      <c r="I21" s="189">
        <v>638235.06000000006</v>
      </c>
      <c r="J21" s="192">
        <f t="shared" si="0"/>
        <v>3.4291073309800607E-2</v>
      </c>
    </row>
    <row r="22" spans="1:11" ht="23.25" customHeight="1" x14ac:dyDescent="0.25">
      <c r="A22" s="182">
        <v>5</v>
      </c>
      <c r="B22" s="203" t="s">
        <v>31</v>
      </c>
      <c r="C22" s="183">
        <f>365424.95</f>
        <v>365424.95</v>
      </c>
      <c r="D22" s="183">
        <v>88080</v>
      </c>
      <c r="E22" s="184">
        <f t="shared" si="1"/>
        <v>1.9633540265995762E-2</v>
      </c>
      <c r="F22" s="185"/>
      <c r="G22" s="186">
        <v>6</v>
      </c>
      <c r="H22" s="179" t="s">
        <v>402</v>
      </c>
      <c r="I22" s="183">
        <v>1276156.1100000001</v>
      </c>
      <c r="J22" s="187">
        <f t="shared" si="0"/>
        <v>6.856527550015816E-2</v>
      </c>
    </row>
    <row r="23" spans="1:11" ht="23.25" customHeight="1" x14ac:dyDescent="0.25">
      <c r="A23" s="188">
        <v>6</v>
      </c>
      <c r="B23" s="204" t="s">
        <v>34</v>
      </c>
      <c r="C23" s="189">
        <f>340922.46+15664.84</f>
        <v>356587.30000000005</v>
      </c>
      <c r="D23" s="189"/>
      <c r="E23" s="190">
        <f t="shared" si="1"/>
        <v>1.9158711283651299E-2</v>
      </c>
      <c r="F23" s="185"/>
      <c r="G23" s="191">
        <v>27</v>
      </c>
      <c r="H23" s="181" t="s">
        <v>403</v>
      </c>
      <c r="I23" s="189">
        <v>13020947.09</v>
      </c>
      <c r="J23" s="192">
        <f t="shared" si="0"/>
        <v>0.69958903734656142</v>
      </c>
    </row>
    <row r="24" spans="1:11" ht="23.25" customHeight="1" x14ac:dyDescent="0.25">
      <c r="A24" s="182">
        <v>7</v>
      </c>
      <c r="B24" s="203" t="s">
        <v>35</v>
      </c>
      <c r="C24" s="183">
        <v>29504.6</v>
      </c>
      <c r="D24" s="183"/>
      <c r="E24" s="184">
        <f t="shared" si="1"/>
        <v>1.5852222245144963E-3</v>
      </c>
      <c r="F24" s="185"/>
      <c r="G24" s="186">
        <v>12</v>
      </c>
      <c r="H24" s="179" t="s">
        <v>404</v>
      </c>
      <c r="I24" s="183">
        <v>2486059.9500000002</v>
      </c>
      <c r="J24" s="187">
        <f t="shared" si="0"/>
        <v>0.13357095111322972</v>
      </c>
    </row>
    <row r="25" spans="1:11" ht="23.25" customHeight="1" x14ac:dyDescent="0.25">
      <c r="A25" s="188">
        <v>8</v>
      </c>
      <c r="B25" s="204" t="s">
        <v>33</v>
      </c>
      <c r="C25" s="189">
        <v>80343.27</v>
      </c>
      <c r="D25" s="189"/>
      <c r="E25" s="190">
        <f t="shared" si="1"/>
        <v>4.3166806936602697E-3</v>
      </c>
      <c r="F25" s="185"/>
      <c r="G25" s="191">
        <v>8</v>
      </c>
      <c r="H25" s="181" t="s">
        <v>405</v>
      </c>
      <c r="I25" s="189">
        <v>760232.41</v>
      </c>
      <c r="J25" s="192">
        <f t="shared" si="0"/>
        <v>4.0845743108810714E-2</v>
      </c>
      <c r="K25" s="103"/>
    </row>
    <row r="26" spans="1:11" ht="23.25" customHeight="1" x14ac:dyDescent="0.25">
      <c r="A26" s="182">
        <v>9</v>
      </c>
      <c r="B26" s="203" t="s">
        <v>30</v>
      </c>
      <c r="C26" s="183">
        <v>120071.43</v>
      </c>
      <c r="D26" s="183"/>
      <c r="E26" s="184">
        <f t="shared" si="1"/>
        <v>6.451194029583069E-3</v>
      </c>
      <c r="F26" s="185"/>
      <c r="G26" s="186">
        <v>1</v>
      </c>
      <c r="H26" s="179" t="s">
        <v>406</v>
      </c>
      <c r="I26" s="183">
        <v>8928.57</v>
      </c>
      <c r="J26" s="187">
        <f t="shared" si="0"/>
        <v>4.7971392925623109E-4</v>
      </c>
    </row>
    <row r="27" spans="1:11" ht="23.25" customHeight="1" x14ac:dyDescent="0.25">
      <c r="A27" s="285" t="s">
        <v>397</v>
      </c>
      <c r="B27" s="286"/>
      <c r="C27" s="193">
        <f>SUM(C18:C26)</f>
        <v>19941180.25</v>
      </c>
      <c r="D27" s="193">
        <f>SUM(D18:D26)</f>
        <v>1338699.19</v>
      </c>
      <c r="E27" s="194">
        <f>SUM(E18:E26)</f>
        <v>1.0713991077780936</v>
      </c>
      <c r="F27" s="185"/>
      <c r="G27" s="191">
        <v>2</v>
      </c>
      <c r="H27" s="181" t="s">
        <v>407</v>
      </c>
      <c r="I27" s="189">
        <v>250030.43</v>
      </c>
      <c r="J27" s="192">
        <f t="shared" si="0"/>
        <v>1.3433627110379941E-2</v>
      </c>
    </row>
    <row r="28" spans="1:11" ht="23.25" customHeight="1" x14ac:dyDescent="0.25">
      <c r="A28" s="285" t="s">
        <v>396</v>
      </c>
      <c r="B28" s="286" t="s">
        <v>395</v>
      </c>
      <c r="C28" s="195">
        <v>18612280.059999999</v>
      </c>
      <c r="D28" s="196"/>
      <c r="E28" s="197"/>
      <c r="F28" s="185"/>
      <c r="G28" s="186">
        <v>1</v>
      </c>
      <c r="H28" s="179" t="s">
        <v>411</v>
      </c>
      <c r="I28" s="183">
        <v>17689.2</v>
      </c>
      <c r="J28" s="187">
        <f t="shared" si="0"/>
        <v>9.5040478345348955E-4</v>
      </c>
    </row>
    <row r="29" spans="1:11" ht="23.25" customHeight="1" x14ac:dyDescent="0.25">
      <c r="A29" s="198"/>
      <c r="B29" s="198"/>
      <c r="C29" s="199"/>
      <c r="D29" s="199"/>
      <c r="E29" s="200"/>
      <c r="F29" s="201"/>
      <c r="G29" s="191">
        <v>1</v>
      </c>
      <c r="H29" s="181" t="s">
        <v>412</v>
      </c>
      <c r="I29" s="189">
        <v>60900</v>
      </c>
      <c r="J29" s="192">
        <f t="shared" si="0"/>
        <v>3.2720332921962279E-3</v>
      </c>
    </row>
    <row r="30" spans="1:11" ht="23.25" customHeight="1" x14ac:dyDescent="0.25">
      <c r="A30" s="116"/>
      <c r="B30" s="185"/>
      <c r="C30" s="185"/>
      <c r="D30" s="185"/>
      <c r="E30" s="185"/>
      <c r="F30" s="185"/>
      <c r="G30" s="202">
        <f>SUM(G18:G29)</f>
        <v>352</v>
      </c>
      <c r="H30" s="180" t="s">
        <v>397</v>
      </c>
      <c r="I30" s="193">
        <f>SUM(I18:I29)</f>
        <v>19941180.25</v>
      </c>
      <c r="J30" s="194">
        <f>SUM(J18:J28)</f>
        <v>1.0681270744858973</v>
      </c>
    </row>
    <row r="31" spans="1:11" ht="23.25" customHeight="1" x14ac:dyDescent="0.25">
      <c r="A31" s="116"/>
      <c r="B31" s="185"/>
      <c r="C31" s="185"/>
      <c r="D31" s="185"/>
      <c r="E31" s="185"/>
      <c r="F31" s="185"/>
      <c r="G31" s="185"/>
      <c r="H31" s="180" t="s">
        <v>396</v>
      </c>
      <c r="I31" s="193">
        <f>C28</f>
        <v>18612280.059999999</v>
      </c>
      <c r="J31" s="185"/>
    </row>
  </sheetData>
  <mergeCells count="18">
    <mergeCell ref="A2:E2"/>
    <mergeCell ref="A3:A4"/>
    <mergeCell ref="B3:B4"/>
    <mergeCell ref="C3:C4"/>
    <mergeCell ref="A28:B28"/>
    <mergeCell ref="A27:B27"/>
    <mergeCell ref="D16:D17"/>
    <mergeCell ref="A14:B14"/>
    <mergeCell ref="A15:E15"/>
    <mergeCell ref="A16:A17"/>
    <mergeCell ref="B16:B17"/>
    <mergeCell ref="C16:C17"/>
    <mergeCell ref="E16:E17"/>
    <mergeCell ref="H16:H17"/>
    <mergeCell ref="G15:J15"/>
    <mergeCell ref="G16:G17"/>
    <mergeCell ref="I16:I17"/>
    <mergeCell ref="J16:J17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48"/>
  <sheetViews>
    <sheetView zoomScaleNormal="100" workbookViewId="0">
      <selection activeCell="F135" sqref="F135"/>
    </sheetView>
  </sheetViews>
  <sheetFormatPr baseColWidth="10" defaultRowHeight="15" x14ac:dyDescent="0.25"/>
  <cols>
    <col min="1" max="2" width="9" style="174" customWidth="1"/>
    <col min="3" max="3" width="15.85546875" style="3" bestFit="1" customWidth="1"/>
    <col min="4" max="4" width="7.85546875" style="174" customWidth="1"/>
    <col min="5" max="5" width="22.5703125" style="3" bestFit="1" customWidth="1"/>
    <col min="6" max="6" width="44.7109375" style="3" customWidth="1"/>
    <col min="7" max="7" width="19.140625" style="3" bestFit="1" customWidth="1"/>
    <col min="8" max="12" width="20.85546875" style="4" customWidth="1"/>
    <col min="13" max="13" width="21.5703125" style="8" bestFit="1" customWidth="1"/>
    <col min="14" max="14" width="14.140625" style="5" bestFit="1" customWidth="1"/>
  </cols>
  <sheetData>
    <row r="1" spans="1:14" ht="43.5" customHeight="1" x14ac:dyDescent="0.25">
      <c r="A1" s="171" t="s">
        <v>376</v>
      </c>
      <c r="B1" s="171" t="s">
        <v>377</v>
      </c>
      <c r="C1" s="166" t="s">
        <v>15</v>
      </c>
      <c r="D1" s="171" t="s">
        <v>378</v>
      </c>
      <c r="E1" s="166" t="s">
        <v>0</v>
      </c>
      <c r="F1" s="167" t="s">
        <v>46</v>
      </c>
      <c r="G1" s="166" t="s">
        <v>2</v>
      </c>
      <c r="H1" s="168" t="s">
        <v>4</v>
      </c>
      <c r="I1" s="168" t="s">
        <v>8</v>
      </c>
      <c r="J1" s="168" t="s">
        <v>24</v>
      </c>
      <c r="K1" s="168" t="s">
        <v>25</v>
      </c>
      <c r="L1" s="168" t="s">
        <v>16</v>
      </c>
      <c r="M1" s="169" t="s">
        <v>11</v>
      </c>
      <c r="N1" s="170" t="s">
        <v>17</v>
      </c>
    </row>
    <row r="2" spans="1:14" ht="25.5" x14ac:dyDescent="0.25">
      <c r="A2" s="172">
        <v>57</v>
      </c>
      <c r="B2" s="172" t="s">
        <v>379</v>
      </c>
      <c r="C2" s="70">
        <v>530813</v>
      </c>
      <c r="D2" s="172" t="s">
        <v>380</v>
      </c>
      <c r="E2" s="71" t="s">
        <v>38</v>
      </c>
      <c r="F2" s="72" t="s">
        <v>39</v>
      </c>
      <c r="G2" s="72" t="s">
        <v>172</v>
      </c>
      <c r="H2" s="76">
        <v>13229.71</v>
      </c>
      <c r="I2" s="76">
        <v>12303.63</v>
      </c>
      <c r="J2" s="77">
        <f>I2*0.12</f>
        <v>1476.4355999999998</v>
      </c>
      <c r="K2" s="73">
        <f>I2+J2</f>
        <v>13780.065599999998</v>
      </c>
      <c r="L2" s="73">
        <f>H2-I2</f>
        <v>926.07999999999993</v>
      </c>
      <c r="M2" s="74">
        <v>44321</v>
      </c>
      <c r="N2" s="75">
        <v>35</v>
      </c>
    </row>
    <row r="3" spans="1:14" ht="25.5" hidden="1" x14ac:dyDescent="0.25">
      <c r="A3" s="29"/>
      <c r="B3" s="29"/>
      <c r="C3" s="29"/>
      <c r="D3" s="29"/>
      <c r="E3" s="30" t="s">
        <v>40</v>
      </c>
      <c r="F3" s="28" t="s">
        <v>41</v>
      </c>
      <c r="G3" s="28" t="s">
        <v>65</v>
      </c>
      <c r="H3" s="28" t="s">
        <v>26</v>
      </c>
      <c r="I3" s="31"/>
      <c r="J3" s="32"/>
      <c r="K3" s="33"/>
      <c r="L3" s="33"/>
      <c r="M3" s="34"/>
      <c r="N3" s="35"/>
    </row>
    <row r="4" spans="1:14" ht="25.5" hidden="1" x14ac:dyDescent="0.25">
      <c r="A4" s="29"/>
      <c r="B4" s="29"/>
      <c r="C4" s="29"/>
      <c r="D4" s="29"/>
      <c r="E4" s="30" t="s">
        <v>42</v>
      </c>
      <c r="F4" s="28" t="s">
        <v>43</v>
      </c>
      <c r="G4" s="28" t="s">
        <v>65</v>
      </c>
      <c r="H4" s="28" t="s">
        <v>26</v>
      </c>
      <c r="I4" s="121"/>
      <c r="J4" s="122"/>
      <c r="K4" s="33"/>
      <c r="L4" s="33"/>
      <c r="M4" s="34"/>
      <c r="N4" s="35"/>
    </row>
    <row r="5" spans="1:14" ht="25.5" hidden="1" x14ac:dyDescent="0.25">
      <c r="A5" s="20"/>
      <c r="B5" s="20"/>
      <c r="C5" s="20"/>
      <c r="D5" s="20"/>
      <c r="E5" s="21" t="s">
        <v>44</v>
      </c>
      <c r="F5" s="22" t="s">
        <v>45</v>
      </c>
      <c r="G5" s="22" t="s">
        <v>66</v>
      </c>
      <c r="H5" s="22" t="s">
        <v>27</v>
      </c>
      <c r="I5" s="23"/>
      <c r="J5" s="20"/>
      <c r="K5" s="24"/>
      <c r="L5" s="24"/>
      <c r="M5" s="25"/>
      <c r="N5" s="26"/>
    </row>
    <row r="6" spans="1:14" ht="38.25" hidden="1" x14ac:dyDescent="0.25">
      <c r="A6" s="70"/>
      <c r="B6" s="70"/>
      <c r="C6" s="70">
        <v>530803</v>
      </c>
      <c r="D6" s="70"/>
      <c r="E6" s="71" t="s">
        <v>49</v>
      </c>
      <c r="F6" s="72" t="s">
        <v>50</v>
      </c>
      <c r="G6" s="72" t="s">
        <v>172</v>
      </c>
      <c r="H6" s="76">
        <v>35975.5</v>
      </c>
      <c r="I6" s="76">
        <v>35975.5</v>
      </c>
      <c r="J6" s="77">
        <f>I6*0.12</f>
        <v>4317.0599999999995</v>
      </c>
      <c r="K6" s="73">
        <f>I6+J6</f>
        <v>40292.559999999998</v>
      </c>
      <c r="L6" s="73">
        <f>H6-I6</f>
        <v>0</v>
      </c>
      <c r="M6" s="74">
        <v>44315</v>
      </c>
      <c r="N6" s="75">
        <v>10</v>
      </c>
    </row>
    <row r="7" spans="1:14" ht="38.25" hidden="1" x14ac:dyDescent="0.25">
      <c r="A7" s="29"/>
      <c r="B7" s="29"/>
      <c r="C7" s="29"/>
      <c r="D7" s="29"/>
      <c r="E7" s="30" t="s">
        <v>52</v>
      </c>
      <c r="F7" s="28" t="s">
        <v>53</v>
      </c>
      <c r="G7" s="28" t="s">
        <v>65</v>
      </c>
      <c r="H7" s="28" t="s">
        <v>54</v>
      </c>
      <c r="I7" s="31"/>
      <c r="J7" s="32"/>
      <c r="K7" s="33"/>
      <c r="L7" s="33"/>
      <c r="M7" s="34"/>
      <c r="N7" s="35"/>
    </row>
    <row r="8" spans="1:14" ht="25.5" hidden="1" x14ac:dyDescent="0.25">
      <c r="A8" s="20"/>
      <c r="B8" s="20"/>
      <c r="C8" s="20"/>
      <c r="D8" s="20"/>
      <c r="E8" s="21" t="s">
        <v>55</v>
      </c>
      <c r="F8" s="22" t="s">
        <v>56</v>
      </c>
      <c r="G8" s="22" t="s">
        <v>66</v>
      </c>
      <c r="H8" s="22" t="s">
        <v>27</v>
      </c>
      <c r="I8" s="23"/>
      <c r="J8" s="27"/>
      <c r="K8" s="24"/>
      <c r="L8" s="24"/>
      <c r="M8" s="25"/>
      <c r="N8" s="26"/>
    </row>
    <row r="9" spans="1:14" hidden="1" x14ac:dyDescent="0.25">
      <c r="A9" s="70"/>
      <c r="B9" s="70"/>
      <c r="C9" s="70">
        <v>530404</v>
      </c>
      <c r="D9" s="70"/>
      <c r="E9" s="71" t="s">
        <v>57</v>
      </c>
      <c r="F9" s="72" t="s">
        <v>58</v>
      </c>
      <c r="G9" s="72" t="s">
        <v>172</v>
      </c>
      <c r="H9" s="76">
        <v>8928.57</v>
      </c>
      <c r="I9" s="76">
        <v>8928.57</v>
      </c>
      <c r="J9" s="77">
        <f>I9*0.12</f>
        <v>1071.4284</v>
      </c>
      <c r="K9" s="73">
        <f>I9+J9</f>
        <v>9999.9984000000004</v>
      </c>
      <c r="L9" s="73">
        <f>H9-I9</f>
        <v>0</v>
      </c>
      <c r="M9" s="74">
        <v>44314</v>
      </c>
      <c r="N9" s="75">
        <v>240</v>
      </c>
    </row>
    <row r="10" spans="1:14" ht="38.25" hidden="1" x14ac:dyDescent="0.25">
      <c r="A10" s="70"/>
      <c r="B10" s="70"/>
      <c r="C10" s="70">
        <v>530410</v>
      </c>
      <c r="D10" s="70"/>
      <c r="E10" s="71" t="s">
        <v>59</v>
      </c>
      <c r="F10" s="72" t="s">
        <v>60</v>
      </c>
      <c r="G10" s="72" t="s">
        <v>172</v>
      </c>
      <c r="H10" s="76">
        <v>448224.13</v>
      </c>
      <c r="I10" s="76">
        <v>448224.13</v>
      </c>
      <c r="J10" s="77">
        <f>I10*0.12</f>
        <v>53786.895599999996</v>
      </c>
      <c r="K10" s="73">
        <f>I10+J10</f>
        <v>502011.02559999999</v>
      </c>
      <c r="L10" s="73">
        <f>H10-I10</f>
        <v>0</v>
      </c>
      <c r="M10" s="79">
        <v>44314</v>
      </c>
      <c r="N10" s="75">
        <v>120</v>
      </c>
    </row>
    <row r="11" spans="1:14" hidden="1" x14ac:dyDescent="0.25">
      <c r="A11" s="70"/>
      <c r="B11" s="70"/>
      <c r="C11" s="70">
        <v>530605</v>
      </c>
      <c r="D11" s="70"/>
      <c r="E11" s="71" t="s">
        <v>61</v>
      </c>
      <c r="F11" s="72" t="s">
        <v>62</v>
      </c>
      <c r="G11" s="72" t="s">
        <v>172</v>
      </c>
      <c r="H11" s="76">
        <v>8928.57</v>
      </c>
      <c r="I11" s="76">
        <v>8928.57</v>
      </c>
      <c r="J11" s="77">
        <f>I11*0.12</f>
        <v>1071.4284</v>
      </c>
      <c r="K11" s="73">
        <f>I11+J11</f>
        <v>9999.9984000000004</v>
      </c>
      <c r="L11" s="73">
        <f>H11-I11</f>
        <v>0</v>
      </c>
      <c r="M11" s="80">
        <v>44315</v>
      </c>
      <c r="N11" s="75">
        <v>60</v>
      </c>
    </row>
    <row r="12" spans="1:14" ht="51" x14ac:dyDescent="0.25">
      <c r="A12" s="172" t="s">
        <v>381</v>
      </c>
      <c r="B12" s="172" t="s">
        <v>382</v>
      </c>
      <c r="C12" s="70" t="s">
        <v>142</v>
      </c>
      <c r="D12" s="172" t="s">
        <v>383</v>
      </c>
      <c r="E12" s="71" t="s">
        <v>63</v>
      </c>
      <c r="F12" s="72" t="s">
        <v>64</v>
      </c>
      <c r="G12" s="72" t="s">
        <v>172</v>
      </c>
      <c r="H12" s="76">
        <v>466425.45</v>
      </c>
      <c r="I12" s="76">
        <v>455000</v>
      </c>
      <c r="J12" s="77">
        <f>I12*0.12</f>
        <v>54600</v>
      </c>
      <c r="K12" s="73">
        <f>I12+J12</f>
        <v>509600</v>
      </c>
      <c r="L12" s="73">
        <f>H12-I12</f>
        <v>11425.450000000012</v>
      </c>
      <c r="M12" s="74">
        <v>44323</v>
      </c>
      <c r="N12" s="75">
        <v>90</v>
      </c>
    </row>
    <row r="13" spans="1:14" s="1" customFormat="1" ht="76.5" x14ac:dyDescent="0.25">
      <c r="A13" s="172" t="s">
        <v>385</v>
      </c>
      <c r="B13" s="172" t="s">
        <v>380</v>
      </c>
      <c r="C13" s="70">
        <v>530601</v>
      </c>
      <c r="D13" s="172" t="s">
        <v>379</v>
      </c>
      <c r="E13" s="71" t="s">
        <v>67</v>
      </c>
      <c r="F13" s="72" t="s">
        <v>68</v>
      </c>
      <c r="G13" s="72" t="s">
        <v>172</v>
      </c>
      <c r="H13" s="76">
        <v>66964.289999999994</v>
      </c>
      <c r="I13" s="76">
        <v>60900</v>
      </c>
      <c r="J13" s="76">
        <f>I13*0.12</f>
        <v>7308</v>
      </c>
      <c r="K13" s="76">
        <f>I13+J13</f>
        <v>68208</v>
      </c>
      <c r="L13" s="73">
        <f>H13-I13</f>
        <v>6064.2899999999936</v>
      </c>
      <c r="M13" s="74">
        <v>44333</v>
      </c>
      <c r="N13" s="75">
        <v>200</v>
      </c>
    </row>
    <row r="14" spans="1:14" s="1" customFormat="1" ht="25.5" hidden="1" x14ac:dyDescent="0.25">
      <c r="A14" s="29"/>
      <c r="B14" s="29"/>
      <c r="C14" s="29"/>
      <c r="D14" s="29"/>
      <c r="E14" s="30" t="s">
        <v>69</v>
      </c>
      <c r="F14" s="28" t="s">
        <v>70</v>
      </c>
      <c r="G14" s="28" t="s">
        <v>65</v>
      </c>
      <c r="H14" s="28" t="s">
        <v>71</v>
      </c>
      <c r="I14" s="31"/>
      <c r="J14" s="32"/>
      <c r="K14" s="33"/>
      <c r="L14" s="33"/>
      <c r="M14" s="34"/>
      <c r="N14" s="35"/>
    </row>
    <row r="15" spans="1:14" s="1" customFormat="1" ht="25.5" hidden="1" x14ac:dyDescent="0.25">
      <c r="A15" s="29"/>
      <c r="B15" s="29"/>
      <c r="C15" s="29"/>
      <c r="D15" s="29"/>
      <c r="E15" s="30" t="s">
        <v>87</v>
      </c>
      <c r="F15" s="28" t="s">
        <v>88</v>
      </c>
      <c r="G15" s="28" t="s">
        <v>65</v>
      </c>
      <c r="H15" s="28" t="s">
        <v>89</v>
      </c>
      <c r="I15" s="31"/>
      <c r="J15" s="32"/>
      <c r="K15" s="33"/>
      <c r="L15" s="33"/>
      <c r="M15" s="34"/>
      <c r="N15" s="35"/>
    </row>
    <row r="16" spans="1:14" s="1" customFormat="1" ht="38.25" hidden="1" x14ac:dyDescent="0.25">
      <c r="A16" s="70"/>
      <c r="B16" s="70"/>
      <c r="C16" s="70">
        <v>530410</v>
      </c>
      <c r="D16" s="70"/>
      <c r="E16" s="71" t="s">
        <v>90</v>
      </c>
      <c r="F16" s="72" t="s">
        <v>91</v>
      </c>
      <c r="G16" s="72" t="s">
        <v>172</v>
      </c>
      <c r="H16" s="76">
        <v>176745.4</v>
      </c>
      <c r="I16" s="76">
        <v>176745.4</v>
      </c>
      <c r="J16" s="77">
        <f>I16*0.12</f>
        <v>21209.448</v>
      </c>
      <c r="K16" s="73">
        <f>I16+J16</f>
        <v>197954.848</v>
      </c>
      <c r="L16" s="73">
        <f>H16-I16</f>
        <v>0</v>
      </c>
      <c r="M16" s="74">
        <v>44321</v>
      </c>
      <c r="N16" s="75">
        <v>105</v>
      </c>
    </row>
    <row r="17" spans="1:14" s="1" customFormat="1" ht="25.5" hidden="1" x14ac:dyDescent="0.25">
      <c r="A17" s="70"/>
      <c r="B17" s="70"/>
      <c r="C17" s="70">
        <v>530417</v>
      </c>
      <c r="D17" s="70"/>
      <c r="E17" s="71" t="s">
        <v>92</v>
      </c>
      <c r="F17" s="72" t="s">
        <v>93</v>
      </c>
      <c r="G17" s="72" t="s">
        <v>172</v>
      </c>
      <c r="H17" s="76">
        <v>81828.570000000007</v>
      </c>
      <c r="I17" s="76">
        <v>81828.570000000007</v>
      </c>
      <c r="J17" s="77">
        <f>I17*0.12</f>
        <v>9819.4284000000007</v>
      </c>
      <c r="K17" s="73">
        <f>I17+J17</f>
        <v>91647.998400000011</v>
      </c>
      <c r="L17" s="73">
        <f>H17-I17</f>
        <v>0</v>
      </c>
      <c r="M17" s="74">
        <v>44335</v>
      </c>
      <c r="N17" s="75">
        <v>60</v>
      </c>
    </row>
    <row r="18" spans="1:14" s="1" customFormat="1" ht="25.5" x14ac:dyDescent="0.25">
      <c r="A18" s="172" t="s">
        <v>385</v>
      </c>
      <c r="B18" s="172" t="s">
        <v>380</v>
      </c>
      <c r="C18" s="70">
        <v>530404</v>
      </c>
      <c r="D18" s="172" t="s">
        <v>380</v>
      </c>
      <c r="E18" s="71" t="s">
        <v>94</v>
      </c>
      <c r="F18" s="72" t="s">
        <v>95</v>
      </c>
      <c r="G18" s="72" t="s">
        <v>172</v>
      </c>
      <c r="H18" s="76">
        <v>10715</v>
      </c>
      <c r="I18" s="76">
        <v>9964.9500000000007</v>
      </c>
      <c r="J18" s="77">
        <f>I18*0.12</f>
        <v>1195.7940000000001</v>
      </c>
      <c r="K18" s="73">
        <f>I18+J18</f>
        <v>11160.744000000001</v>
      </c>
      <c r="L18" s="73">
        <f>H18-I18</f>
        <v>750.04999999999927</v>
      </c>
      <c r="M18" s="74">
        <v>44336</v>
      </c>
      <c r="N18" s="75">
        <v>45</v>
      </c>
    </row>
    <row r="19" spans="1:14" ht="25.5" hidden="1" x14ac:dyDescent="0.25">
      <c r="A19" s="29"/>
      <c r="B19" s="29"/>
      <c r="C19" s="29"/>
      <c r="D19" s="29"/>
      <c r="E19" s="30" t="s">
        <v>96</v>
      </c>
      <c r="F19" s="28" t="s">
        <v>97</v>
      </c>
      <c r="G19" s="28" t="s">
        <v>65</v>
      </c>
      <c r="H19" s="28" t="s">
        <v>26</v>
      </c>
      <c r="I19" s="31"/>
      <c r="J19" s="32"/>
      <c r="K19" s="33"/>
      <c r="L19" s="33"/>
      <c r="M19" s="34"/>
      <c r="N19" s="35"/>
    </row>
    <row r="20" spans="1:14" ht="25.5" hidden="1" x14ac:dyDescent="0.25">
      <c r="A20" s="29"/>
      <c r="B20" s="29"/>
      <c r="C20" s="29"/>
      <c r="D20" s="29"/>
      <c r="E20" s="30" t="s">
        <v>98</v>
      </c>
      <c r="F20" s="28" t="s">
        <v>99</v>
      </c>
      <c r="G20" s="28" t="s">
        <v>65</v>
      </c>
      <c r="H20" s="28" t="s">
        <v>26</v>
      </c>
      <c r="I20" s="31"/>
      <c r="J20" s="32"/>
      <c r="K20" s="33"/>
      <c r="L20" s="33"/>
      <c r="M20" s="34"/>
      <c r="N20" s="35"/>
    </row>
    <row r="21" spans="1:14" ht="25.5" x14ac:dyDescent="0.25">
      <c r="A21" s="172" t="s">
        <v>384</v>
      </c>
      <c r="B21" s="172" t="s">
        <v>379</v>
      </c>
      <c r="C21" s="70">
        <v>530813</v>
      </c>
      <c r="D21" s="172" t="s">
        <v>380</v>
      </c>
      <c r="E21" s="71" t="s">
        <v>100</v>
      </c>
      <c r="F21" s="72" t="s">
        <v>101</v>
      </c>
      <c r="G21" s="72" t="s">
        <v>66</v>
      </c>
      <c r="H21" s="76">
        <v>20789.2</v>
      </c>
      <c r="I21" s="76">
        <v>20372.599999999999</v>
      </c>
      <c r="J21" s="77">
        <f>I21*0.12</f>
        <v>2444.7119999999995</v>
      </c>
      <c r="K21" s="73">
        <f>I21+J21</f>
        <v>22817.311999999998</v>
      </c>
      <c r="L21" s="73">
        <f>H21-I21</f>
        <v>416.60000000000218</v>
      </c>
      <c r="M21" s="74">
        <v>44337</v>
      </c>
      <c r="N21" s="75">
        <v>30</v>
      </c>
    </row>
    <row r="22" spans="1:14" ht="38.25" hidden="1" x14ac:dyDescent="0.25">
      <c r="A22" s="29"/>
      <c r="B22" s="29"/>
      <c r="C22" s="29"/>
      <c r="D22" s="29"/>
      <c r="E22" s="30" t="s">
        <v>102</v>
      </c>
      <c r="F22" s="28" t="s">
        <v>103</v>
      </c>
      <c r="G22" s="28" t="s">
        <v>104</v>
      </c>
      <c r="H22" s="28" t="s">
        <v>105</v>
      </c>
      <c r="I22" s="31"/>
      <c r="J22" s="32"/>
      <c r="K22" s="33"/>
      <c r="L22" s="33"/>
      <c r="M22" s="34"/>
      <c r="N22" s="35"/>
    </row>
    <row r="23" spans="1:14" ht="25.5" hidden="1" x14ac:dyDescent="0.25">
      <c r="A23" s="70"/>
      <c r="B23" s="70"/>
      <c r="C23" s="70">
        <v>530417</v>
      </c>
      <c r="D23" s="70"/>
      <c r="E23" s="71" t="s">
        <v>106</v>
      </c>
      <c r="F23" s="72" t="s">
        <v>107</v>
      </c>
      <c r="G23" s="72" t="s">
        <v>172</v>
      </c>
      <c r="H23" s="76">
        <v>99107.14</v>
      </c>
      <c r="I23" s="76">
        <v>99107.14</v>
      </c>
      <c r="J23" s="77">
        <f>I23*0.12</f>
        <v>11892.8568</v>
      </c>
      <c r="K23" s="73">
        <f>I23+J23</f>
        <v>110999.99679999999</v>
      </c>
      <c r="L23" s="73">
        <f>H23-I23</f>
        <v>0</v>
      </c>
      <c r="M23" s="74">
        <v>44348</v>
      </c>
      <c r="N23" s="75">
        <v>60</v>
      </c>
    </row>
    <row r="24" spans="1:14" ht="25.5" hidden="1" x14ac:dyDescent="0.25">
      <c r="A24" s="70"/>
      <c r="B24" s="70"/>
      <c r="C24" s="70">
        <v>530417</v>
      </c>
      <c r="D24" s="70"/>
      <c r="E24" s="71" t="s">
        <v>108</v>
      </c>
      <c r="F24" s="72" t="s">
        <v>109</v>
      </c>
      <c r="G24" s="72" t="s">
        <v>172</v>
      </c>
      <c r="H24" s="76">
        <v>29017.57</v>
      </c>
      <c r="I24" s="76">
        <v>29017.57</v>
      </c>
      <c r="J24" s="77">
        <f>I24*0.12</f>
        <v>3482.1083999999996</v>
      </c>
      <c r="K24" s="73">
        <f>I24+J24</f>
        <v>32499.678400000001</v>
      </c>
      <c r="L24" s="73">
        <f>H24-I24</f>
        <v>0</v>
      </c>
      <c r="M24" s="74">
        <v>44406</v>
      </c>
      <c r="N24" s="75">
        <v>90</v>
      </c>
    </row>
    <row r="25" spans="1:14" ht="51" hidden="1" x14ac:dyDescent="0.25">
      <c r="A25" s="29"/>
      <c r="B25" s="29"/>
      <c r="C25" s="29"/>
      <c r="D25" s="29"/>
      <c r="E25" s="30" t="s">
        <v>110</v>
      </c>
      <c r="F25" s="28" t="s">
        <v>111</v>
      </c>
      <c r="G25" s="28" t="s">
        <v>65</v>
      </c>
      <c r="H25" s="28" t="s">
        <v>112</v>
      </c>
      <c r="I25" s="31"/>
      <c r="J25" s="32"/>
      <c r="K25" s="33"/>
      <c r="L25" s="33"/>
      <c r="M25" s="34"/>
      <c r="N25" s="35"/>
    </row>
    <row r="26" spans="1:14" s="1" customFormat="1" ht="38.25" hidden="1" x14ac:dyDescent="0.25">
      <c r="A26" s="70"/>
      <c r="B26" s="70"/>
      <c r="C26" s="70">
        <v>530202</v>
      </c>
      <c r="D26" s="70"/>
      <c r="E26" s="71" t="s">
        <v>113</v>
      </c>
      <c r="F26" s="72" t="s">
        <v>114</v>
      </c>
      <c r="G26" s="72" t="s">
        <v>172</v>
      </c>
      <c r="H26" s="76">
        <v>244664.12</v>
      </c>
      <c r="I26" s="76">
        <v>244664.12</v>
      </c>
      <c r="J26" s="77">
        <v>0</v>
      </c>
      <c r="K26" s="73">
        <f>I26+J26</f>
        <v>244664.12</v>
      </c>
      <c r="L26" s="73">
        <f>H26-I26</f>
        <v>0</v>
      </c>
      <c r="M26" s="74">
        <v>44358</v>
      </c>
      <c r="N26" s="75">
        <v>270</v>
      </c>
    </row>
    <row r="27" spans="1:14" s="1" customFormat="1" ht="26.25" x14ac:dyDescent="0.25">
      <c r="A27" s="172" t="s">
        <v>385</v>
      </c>
      <c r="B27" s="172" t="s">
        <v>380</v>
      </c>
      <c r="C27" s="90" t="s">
        <v>181</v>
      </c>
      <c r="D27" s="175" t="s">
        <v>380</v>
      </c>
      <c r="E27" s="71" t="s">
        <v>115</v>
      </c>
      <c r="F27" s="72" t="s">
        <v>116</v>
      </c>
      <c r="G27" s="72" t="s">
        <v>172</v>
      </c>
      <c r="H27" s="76">
        <v>18741.169999999998</v>
      </c>
      <c r="I27" s="76">
        <v>15500</v>
      </c>
      <c r="J27" s="77">
        <f>I27*0.12</f>
        <v>1860</v>
      </c>
      <c r="K27" s="73">
        <f>I27+J27</f>
        <v>17360</v>
      </c>
      <c r="L27" s="73">
        <f>H27-I27</f>
        <v>3241.1699999999983</v>
      </c>
      <c r="M27" s="74">
        <v>44342</v>
      </c>
      <c r="N27" s="75">
        <v>180</v>
      </c>
    </row>
    <row r="28" spans="1:14" s="1" customFormat="1" ht="38.25" x14ac:dyDescent="0.25">
      <c r="A28" s="172" t="s">
        <v>385</v>
      </c>
      <c r="B28" s="172" t="s">
        <v>380</v>
      </c>
      <c r="C28" s="70">
        <v>530201</v>
      </c>
      <c r="D28" s="172" t="s">
        <v>380</v>
      </c>
      <c r="E28" s="71" t="s">
        <v>117</v>
      </c>
      <c r="F28" s="72" t="s">
        <v>118</v>
      </c>
      <c r="G28" s="72" t="s">
        <v>172</v>
      </c>
      <c r="H28" s="76">
        <v>190840</v>
      </c>
      <c r="I28" s="76">
        <v>179389.6</v>
      </c>
      <c r="J28" s="77">
        <v>0</v>
      </c>
      <c r="K28" s="73">
        <f>I28+J28</f>
        <v>179389.6</v>
      </c>
      <c r="L28" s="73">
        <f>H28-I28</f>
        <v>11450.399999999994</v>
      </c>
      <c r="M28" s="74">
        <v>44358</v>
      </c>
      <c r="N28" s="75">
        <v>390</v>
      </c>
    </row>
    <row r="29" spans="1:14" s="1" customFormat="1" ht="76.5" hidden="1" x14ac:dyDescent="0.25">
      <c r="A29" s="29"/>
      <c r="B29" s="29"/>
      <c r="C29" s="29"/>
      <c r="D29" s="29"/>
      <c r="E29" s="30" t="s">
        <v>123</v>
      </c>
      <c r="F29" s="28" t="s">
        <v>124</v>
      </c>
      <c r="G29" s="28" t="s">
        <v>143</v>
      </c>
      <c r="H29" s="28" t="s">
        <v>125</v>
      </c>
      <c r="I29" s="31"/>
      <c r="J29" s="32"/>
      <c r="K29" s="33"/>
      <c r="L29" s="33"/>
      <c r="M29" s="34"/>
      <c r="N29" s="35"/>
    </row>
    <row r="30" spans="1:14" s="1" customFormat="1" ht="63.75" hidden="1" x14ac:dyDescent="0.25">
      <c r="A30" s="29"/>
      <c r="B30" s="29"/>
      <c r="C30" s="29"/>
      <c r="D30" s="29"/>
      <c r="E30" s="30" t="s">
        <v>126</v>
      </c>
      <c r="F30" s="28" t="s">
        <v>127</v>
      </c>
      <c r="G30" s="28" t="s">
        <v>65</v>
      </c>
      <c r="H30" s="28" t="s">
        <v>26</v>
      </c>
      <c r="I30" s="31"/>
      <c r="J30" s="32"/>
      <c r="K30" s="33"/>
      <c r="L30" s="33"/>
      <c r="M30" s="34"/>
      <c r="N30" s="35"/>
    </row>
    <row r="31" spans="1:14" s="1" customFormat="1" ht="38.25" hidden="1" x14ac:dyDescent="0.25">
      <c r="A31" s="81"/>
      <c r="B31" s="81"/>
      <c r="C31" s="81"/>
      <c r="D31" s="81"/>
      <c r="E31" s="82" t="s">
        <v>128</v>
      </c>
      <c r="F31" s="83" t="s">
        <v>129</v>
      </c>
      <c r="G31" s="83" t="s">
        <v>66</v>
      </c>
      <c r="H31" s="83" t="s">
        <v>27</v>
      </c>
      <c r="I31" s="84"/>
      <c r="J31" s="85"/>
      <c r="K31" s="86"/>
      <c r="L31" s="86"/>
      <c r="M31" s="87"/>
      <c r="N31" s="88"/>
    </row>
    <row r="32" spans="1:14" s="1" customFormat="1" ht="38.25" hidden="1" x14ac:dyDescent="0.25">
      <c r="A32" s="81"/>
      <c r="B32" s="81"/>
      <c r="C32" s="81"/>
      <c r="D32" s="81"/>
      <c r="E32" s="82" t="s">
        <v>121</v>
      </c>
      <c r="F32" s="83" t="s">
        <v>122</v>
      </c>
      <c r="G32" s="83" t="s">
        <v>66</v>
      </c>
      <c r="H32" s="83" t="s">
        <v>27</v>
      </c>
      <c r="I32" s="84"/>
      <c r="J32" s="85"/>
      <c r="K32" s="86"/>
      <c r="L32" s="86"/>
      <c r="M32" s="87"/>
      <c r="N32" s="88"/>
    </row>
    <row r="33" spans="1:14" s="1" customFormat="1" ht="38.25" x14ac:dyDescent="0.25">
      <c r="A33" s="172" t="s">
        <v>385</v>
      </c>
      <c r="B33" s="172" t="s">
        <v>380</v>
      </c>
      <c r="C33" s="70">
        <v>570201</v>
      </c>
      <c r="D33" s="172" t="s">
        <v>380</v>
      </c>
      <c r="E33" s="71" t="s">
        <v>130</v>
      </c>
      <c r="F33" s="72" t="s">
        <v>131</v>
      </c>
      <c r="G33" s="72" t="s">
        <v>172</v>
      </c>
      <c r="H33" s="76">
        <v>310988.82</v>
      </c>
      <c r="I33" s="76">
        <v>232083.49</v>
      </c>
      <c r="J33" s="77">
        <f>I33*0.12</f>
        <v>27850.018799999998</v>
      </c>
      <c r="K33" s="73">
        <f>I33+J33</f>
        <v>259933.50879999998</v>
      </c>
      <c r="L33" s="73">
        <f>H33-I33</f>
        <v>78905.330000000016</v>
      </c>
      <c r="M33" s="74">
        <v>44355</v>
      </c>
      <c r="N33" s="75">
        <v>365</v>
      </c>
    </row>
    <row r="34" spans="1:14" s="1" customFormat="1" ht="46.5" hidden="1" customHeight="1" x14ac:dyDescent="0.25">
      <c r="A34" s="29"/>
      <c r="B34" s="29"/>
      <c r="C34" s="29"/>
      <c r="D34" s="29"/>
      <c r="E34" s="30" t="s">
        <v>132</v>
      </c>
      <c r="F34" s="28" t="s">
        <v>133</v>
      </c>
      <c r="G34" s="28" t="s">
        <v>65</v>
      </c>
      <c r="H34" s="28" t="s">
        <v>26</v>
      </c>
      <c r="I34" s="31"/>
      <c r="J34" s="32"/>
      <c r="K34" s="33"/>
      <c r="L34" s="33"/>
      <c r="M34" s="34"/>
      <c r="N34" s="35"/>
    </row>
    <row r="35" spans="1:14" s="1" customFormat="1" ht="38.25" x14ac:dyDescent="0.25">
      <c r="A35" s="172" t="s">
        <v>385</v>
      </c>
      <c r="B35" s="172" t="s">
        <v>380</v>
      </c>
      <c r="C35" s="70">
        <v>530704</v>
      </c>
      <c r="D35" s="172" t="s">
        <v>380</v>
      </c>
      <c r="E35" s="71" t="s">
        <v>134</v>
      </c>
      <c r="F35" s="72" t="s">
        <v>135</v>
      </c>
      <c r="G35" s="72" t="s">
        <v>172</v>
      </c>
      <c r="H35" s="76">
        <v>18371</v>
      </c>
      <c r="I35" s="76">
        <v>17248</v>
      </c>
      <c r="J35" s="77">
        <f>I35*0.12</f>
        <v>2069.7599999999998</v>
      </c>
      <c r="K35" s="73">
        <f>I35+J35</f>
        <v>19317.759999999998</v>
      </c>
      <c r="L35" s="73">
        <f>H35-I35</f>
        <v>1123</v>
      </c>
      <c r="M35" s="74">
        <v>44361</v>
      </c>
      <c r="N35" s="75">
        <v>45</v>
      </c>
    </row>
    <row r="36" spans="1:14" ht="38.25" hidden="1" x14ac:dyDescent="0.25">
      <c r="A36" s="81"/>
      <c r="B36" s="81"/>
      <c r="C36" s="81"/>
      <c r="D36" s="81"/>
      <c r="E36" s="82" t="s">
        <v>136</v>
      </c>
      <c r="F36" s="83" t="s">
        <v>137</v>
      </c>
      <c r="G36" s="83" t="s">
        <v>66</v>
      </c>
      <c r="H36" s="83" t="s">
        <v>27</v>
      </c>
      <c r="I36" s="84"/>
      <c r="J36" s="85"/>
      <c r="K36" s="86"/>
      <c r="L36" s="86"/>
      <c r="M36" s="87"/>
      <c r="N36" s="88"/>
    </row>
    <row r="37" spans="1:14" s="1" customFormat="1" ht="25.5" hidden="1" x14ac:dyDescent="0.25">
      <c r="A37" s="70"/>
      <c r="B37" s="70"/>
      <c r="C37" s="70">
        <v>530202</v>
      </c>
      <c r="D37" s="70"/>
      <c r="E37" s="71" t="s">
        <v>138</v>
      </c>
      <c r="F37" s="72" t="s">
        <v>139</v>
      </c>
      <c r="G37" s="72" t="s">
        <v>172</v>
      </c>
      <c r="H37" s="76">
        <v>75000</v>
      </c>
      <c r="I37" s="76">
        <v>75000</v>
      </c>
      <c r="J37" s="77">
        <v>0</v>
      </c>
      <c r="K37" s="73">
        <f>I37+J37</f>
        <v>75000</v>
      </c>
      <c r="L37" s="73">
        <f>H37-I37</f>
        <v>0</v>
      </c>
      <c r="M37" s="74">
        <v>44343</v>
      </c>
      <c r="N37" s="75">
        <v>250</v>
      </c>
    </row>
    <row r="38" spans="1:14" s="1" customFormat="1" ht="25.5" hidden="1" x14ac:dyDescent="0.25">
      <c r="A38" s="70"/>
      <c r="B38" s="70"/>
      <c r="C38" s="70">
        <v>530202</v>
      </c>
      <c r="D38" s="70"/>
      <c r="E38" s="71" t="s">
        <v>140</v>
      </c>
      <c r="F38" s="72" t="s">
        <v>141</v>
      </c>
      <c r="G38" s="72" t="s">
        <v>66</v>
      </c>
      <c r="H38" s="76">
        <v>17689.2</v>
      </c>
      <c r="I38" s="76">
        <v>17689.2</v>
      </c>
      <c r="J38" s="77">
        <v>0</v>
      </c>
      <c r="K38" s="73">
        <f>I38+J38</f>
        <v>17689.2</v>
      </c>
      <c r="L38" s="73">
        <f>H38-I38</f>
        <v>0</v>
      </c>
      <c r="M38" s="74">
        <v>44287</v>
      </c>
      <c r="N38" s="75">
        <v>15</v>
      </c>
    </row>
    <row r="39" spans="1:14" s="1" customFormat="1" ht="51" hidden="1" x14ac:dyDescent="0.25">
      <c r="A39" s="29"/>
      <c r="B39" s="29"/>
      <c r="C39" s="29"/>
      <c r="D39" s="29"/>
      <c r="E39" s="30" t="s">
        <v>144</v>
      </c>
      <c r="F39" s="28" t="s">
        <v>145</v>
      </c>
      <c r="G39" s="28" t="s">
        <v>65</v>
      </c>
      <c r="H39" s="121">
        <v>129017.86</v>
      </c>
      <c r="I39" s="31"/>
      <c r="J39" s="32"/>
      <c r="K39" s="33"/>
      <c r="L39" s="33"/>
      <c r="M39" s="34"/>
      <c r="N39" s="35"/>
    </row>
    <row r="40" spans="1:14" s="1" customFormat="1" ht="51" hidden="1" x14ac:dyDescent="0.25">
      <c r="A40" s="29"/>
      <c r="B40" s="29"/>
      <c r="C40" s="29"/>
      <c r="D40" s="29"/>
      <c r="E40" s="30" t="s">
        <v>146</v>
      </c>
      <c r="F40" s="28" t="s">
        <v>147</v>
      </c>
      <c r="G40" s="28" t="s">
        <v>65</v>
      </c>
      <c r="H40" s="121">
        <v>18750</v>
      </c>
      <c r="I40" s="31"/>
      <c r="J40" s="32"/>
      <c r="K40" s="33"/>
      <c r="L40" s="33"/>
      <c r="M40" s="34"/>
      <c r="N40" s="35"/>
    </row>
    <row r="41" spans="1:14" s="1" customFormat="1" ht="63.75" hidden="1" x14ac:dyDescent="0.25">
      <c r="A41" s="29"/>
      <c r="B41" s="29"/>
      <c r="C41" s="29"/>
      <c r="D41" s="29"/>
      <c r="E41" s="30" t="s">
        <v>148</v>
      </c>
      <c r="F41" s="28" t="s">
        <v>149</v>
      </c>
      <c r="G41" s="28" t="s">
        <v>65</v>
      </c>
      <c r="H41" s="121">
        <v>85449.38</v>
      </c>
      <c r="I41" s="121">
        <v>80322.42</v>
      </c>
      <c r="J41" s="122">
        <f>I41*0.12</f>
        <v>9638.6903999999995</v>
      </c>
      <c r="K41" s="33">
        <f>I41+J41</f>
        <v>89961.110400000005</v>
      </c>
      <c r="L41" s="33"/>
      <c r="M41" s="34">
        <v>44361</v>
      </c>
      <c r="N41" s="35">
        <v>30</v>
      </c>
    </row>
    <row r="42" spans="1:14" s="1" customFormat="1" ht="25.5" x14ac:dyDescent="0.25">
      <c r="A42" s="172" t="s">
        <v>385</v>
      </c>
      <c r="B42" s="172" t="s">
        <v>380</v>
      </c>
      <c r="C42" s="70">
        <v>530813</v>
      </c>
      <c r="D42" s="172" t="s">
        <v>380</v>
      </c>
      <c r="E42" s="71" t="s">
        <v>150</v>
      </c>
      <c r="F42" s="72" t="s">
        <v>151</v>
      </c>
      <c r="G42" s="72" t="s">
        <v>172</v>
      </c>
      <c r="H42" s="76">
        <v>33863</v>
      </c>
      <c r="I42" s="76">
        <v>33000</v>
      </c>
      <c r="J42" s="77">
        <f>I42*0.12</f>
        <v>3960</v>
      </c>
      <c r="K42" s="73">
        <f>I42+J42</f>
        <v>36960</v>
      </c>
      <c r="L42" s="73">
        <f>H42-I42</f>
        <v>863</v>
      </c>
      <c r="M42" s="74">
        <v>44361</v>
      </c>
      <c r="N42" s="75">
        <v>60</v>
      </c>
    </row>
    <row r="43" spans="1:14" s="1" customFormat="1" ht="25.5" x14ac:dyDescent="0.25">
      <c r="A43" s="172" t="s">
        <v>384</v>
      </c>
      <c r="B43" s="172" t="s">
        <v>379</v>
      </c>
      <c r="C43" s="70">
        <v>530410</v>
      </c>
      <c r="D43" s="172" t="s">
        <v>380</v>
      </c>
      <c r="E43" s="71" t="s">
        <v>152</v>
      </c>
      <c r="F43" s="72" t="s">
        <v>153</v>
      </c>
      <c r="G43" s="72" t="s">
        <v>172</v>
      </c>
      <c r="H43" s="76">
        <v>71370.7</v>
      </c>
      <c r="I43" s="76">
        <v>70656.990000000005</v>
      </c>
      <c r="J43" s="77">
        <f>I43*0.12</f>
        <v>8478.8387999999995</v>
      </c>
      <c r="K43" s="73">
        <f>I43+J43</f>
        <v>79135.828800000003</v>
      </c>
      <c r="L43" s="73">
        <f>H43-I43</f>
        <v>713.70999999999185</v>
      </c>
      <c r="M43" s="74">
        <v>44364</v>
      </c>
      <c r="N43" s="75">
        <v>70</v>
      </c>
    </row>
    <row r="44" spans="1:14" s="1" customFormat="1" ht="25.5" hidden="1" x14ac:dyDescent="0.25">
      <c r="A44" s="29"/>
      <c r="B44" s="29"/>
      <c r="C44" s="29"/>
      <c r="D44" s="29"/>
      <c r="E44" s="30" t="s">
        <v>154</v>
      </c>
      <c r="F44" s="28" t="s">
        <v>97</v>
      </c>
      <c r="G44" s="28" t="s">
        <v>65</v>
      </c>
      <c r="H44" s="28">
        <v>20218.22</v>
      </c>
      <c r="I44" s="31"/>
      <c r="J44" s="32"/>
      <c r="K44" s="33"/>
      <c r="L44" s="33"/>
      <c r="M44" s="34"/>
      <c r="N44" s="35"/>
    </row>
    <row r="45" spans="1:14" s="1" customFormat="1" ht="38.25" x14ac:dyDescent="0.25">
      <c r="A45" s="172" t="s">
        <v>385</v>
      </c>
      <c r="B45" s="172" t="s">
        <v>380</v>
      </c>
      <c r="C45" s="70">
        <v>530810</v>
      </c>
      <c r="D45" s="172" t="s">
        <v>380</v>
      </c>
      <c r="E45" s="71" t="s">
        <v>155</v>
      </c>
      <c r="F45" s="72" t="s">
        <v>156</v>
      </c>
      <c r="G45" s="72" t="s">
        <v>172</v>
      </c>
      <c r="H45" s="76">
        <v>27000</v>
      </c>
      <c r="I45" s="76">
        <v>18500</v>
      </c>
      <c r="J45" s="77">
        <f>I45*0.12</f>
        <v>2220</v>
      </c>
      <c r="K45" s="73">
        <f>I45+J45</f>
        <v>20720</v>
      </c>
      <c r="L45" s="73">
        <f>H45-I45</f>
        <v>8500</v>
      </c>
      <c r="M45" s="74">
        <v>44361</v>
      </c>
      <c r="N45" s="75">
        <v>30</v>
      </c>
    </row>
    <row r="46" spans="1:14" s="1" customFormat="1" ht="38.25" x14ac:dyDescent="0.25">
      <c r="A46" s="172" t="s">
        <v>386</v>
      </c>
      <c r="B46" s="172" t="s">
        <v>380</v>
      </c>
      <c r="C46" s="70">
        <v>530704</v>
      </c>
      <c r="D46" s="172" t="s">
        <v>380</v>
      </c>
      <c r="E46" s="71" t="s">
        <v>157</v>
      </c>
      <c r="F46" s="72" t="s">
        <v>158</v>
      </c>
      <c r="G46" s="72" t="s">
        <v>172</v>
      </c>
      <c r="H46" s="76">
        <v>21500</v>
      </c>
      <c r="I46" s="76">
        <v>20210</v>
      </c>
      <c r="J46" s="77">
        <f>I46*0.12</f>
        <v>2425.1999999999998</v>
      </c>
      <c r="K46" s="73">
        <f>I46+J46</f>
        <v>22635.200000000001</v>
      </c>
      <c r="L46" s="73">
        <f>H46-I46</f>
        <v>1290</v>
      </c>
      <c r="M46" s="74">
        <v>44361</v>
      </c>
      <c r="N46" s="75">
        <v>180</v>
      </c>
    </row>
    <row r="47" spans="1:14" s="1" customFormat="1" ht="25.5" x14ac:dyDescent="0.25">
      <c r="A47" s="172" t="s">
        <v>385</v>
      </c>
      <c r="B47" s="172" t="s">
        <v>380</v>
      </c>
      <c r="C47" s="70">
        <v>530813</v>
      </c>
      <c r="D47" s="172" t="s">
        <v>380</v>
      </c>
      <c r="E47" s="71" t="s">
        <v>159</v>
      </c>
      <c r="F47" s="72" t="s">
        <v>160</v>
      </c>
      <c r="G47" s="72" t="s">
        <v>172</v>
      </c>
      <c r="H47" s="76">
        <v>26783</v>
      </c>
      <c r="I47" s="76">
        <v>25982</v>
      </c>
      <c r="J47" s="77">
        <f>I47*0.12</f>
        <v>3117.8399999999997</v>
      </c>
      <c r="K47" s="73">
        <f>I47+J47</f>
        <v>29099.84</v>
      </c>
      <c r="L47" s="73">
        <f>H47-I47</f>
        <v>801</v>
      </c>
      <c r="M47" s="74">
        <v>44361</v>
      </c>
      <c r="N47" s="75">
        <v>30</v>
      </c>
    </row>
    <row r="48" spans="1:14" s="1" customFormat="1" ht="38.25" x14ac:dyDescent="0.25">
      <c r="A48" s="172" t="s">
        <v>384</v>
      </c>
      <c r="B48" s="172" t="s">
        <v>379</v>
      </c>
      <c r="C48" s="70">
        <v>530410</v>
      </c>
      <c r="D48" s="172" t="s">
        <v>380</v>
      </c>
      <c r="E48" s="71" t="s">
        <v>161</v>
      </c>
      <c r="F48" s="72" t="s">
        <v>162</v>
      </c>
      <c r="G48" s="72" t="s">
        <v>172</v>
      </c>
      <c r="H48" s="76">
        <v>26500</v>
      </c>
      <c r="I48" s="76">
        <v>24645</v>
      </c>
      <c r="J48" s="77">
        <f>I48*0.12</f>
        <v>2957.4</v>
      </c>
      <c r="K48" s="73">
        <f>I48+J48</f>
        <v>27602.400000000001</v>
      </c>
      <c r="L48" s="73">
        <f>H48-I48</f>
        <v>1855</v>
      </c>
      <c r="M48" s="74">
        <v>44361</v>
      </c>
      <c r="N48" s="75">
        <v>35</v>
      </c>
    </row>
    <row r="49" spans="1:14" s="1" customFormat="1" ht="25.5" hidden="1" x14ac:dyDescent="0.25">
      <c r="A49" s="29"/>
      <c r="B49" s="29"/>
      <c r="C49" s="29"/>
      <c r="D49" s="29"/>
      <c r="E49" s="30" t="s">
        <v>163</v>
      </c>
      <c r="F49" s="28" t="s">
        <v>164</v>
      </c>
      <c r="G49" s="28" t="s">
        <v>65</v>
      </c>
      <c r="H49" s="28">
        <v>12448</v>
      </c>
      <c r="I49" s="31"/>
      <c r="J49" s="32"/>
      <c r="K49" s="33"/>
      <c r="L49" s="33"/>
      <c r="M49" s="34"/>
      <c r="N49" s="35"/>
    </row>
    <row r="50" spans="1:14" s="1" customFormat="1" ht="25.5" hidden="1" x14ac:dyDescent="0.25">
      <c r="A50" s="29"/>
      <c r="B50" s="29"/>
      <c r="C50" s="29"/>
      <c r="D50" s="29"/>
      <c r="E50" s="30" t="s">
        <v>165</v>
      </c>
      <c r="F50" s="28" t="s">
        <v>166</v>
      </c>
      <c r="G50" s="28" t="s">
        <v>143</v>
      </c>
      <c r="H50" s="28" t="s">
        <v>26</v>
      </c>
      <c r="I50" s="31"/>
      <c r="J50" s="32"/>
      <c r="K50" s="33"/>
      <c r="L50" s="33"/>
      <c r="M50" s="34"/>
      <c r="N50" s="35"/>
    </row>
    <row r="51" spans="1:14" s="1" customFormat="1" ht="51" hidden="1" x14ac:dyDescent="0.25">
      <c r="A51" s="29"/>
      <c r="B51" s="29"/>
      <c r="C51" s="29"/>
      <c r="D51" s="29"/>
      <c r="E51" s="30" t="s">
        <v>167</v>
      </c>
      <c r="F51" s="28" t="s">
        <v>168</v>
      </c>
      <c r="G51" s="28" t="s">
        <v>65</v>
      </c>
      <c r="H51" s="28">
        <v>53120</v>
      </c>
      <c r="I51" s="31"/>
      <c r="J51" s="32"/>
      <c r="K51" s="33"/>
      <c r="L51" s="33"/>
      <c r="M51" s="34"/>
      <c r="N51" s="35"/>
    </row>
    <row r="52" spans="1:14" s="1" customFormat="1" ht="25.5" hidden="1" x14ac:dyDescent="0.25">
      <c r="A52" s="29"/>
      <c r="B52" s="29"/>
      <c r="C52" s="29"/>
      <c r="D52" s="29"/>
      <c r="E52" s="30" t="s">
        <v>169</v>
      </c>
      <c r="F52" s="28" t="s">
        <v>170</v>
      </c>
      <c r="G52" s="28" t="s">
        <v>65</v>
      </c>
      <c r="H52" s="28">
        <v>36497.68</v>
      </c>
      <c r="I52" s="31"/>
      <c r="J52" s="32"/>
      <c r="K52" s="33"/>
      <c r="L52" s="33"/>
      <c r="M52" s="34"/>
      <c r="N52" s="35"/>
    </row>
    <row r="53" spans="1:14" ht="51" x14ac:dyDescent="0.25">
      <c r="A53" s="172" t="s">
        <v>381</v>
      </c>
      <c r="B53" s="172" t="s">
        <v>382</v>
      </c>
      <c r="C53" s="70">
        <v>530803</v>
      </c>
      <c r="D53" s="172" t="s">
        <v>383</v>
      </c>
      <c r="E53" s="71" t="s">
        <v>171</v>
      </c>
      <c r="F53" s="72" t="s">
        <v>111</v>
      </c>
      <c r="G53" s="72" t="s">
        <v>172</v>
      </c>
      <c r="H53" s="76">
        <v>38900</v>
      </c>
      <c r="I53" s="76">
        <v>38897</v>
      </c>
      <c r="J53" s="77">
        <f>I53*0.12</f>
        <v>4667.6399999999994</v>
      </c>
      <c r="K53" s="73">
        <f>I53+J53</f>
        <v>43564.639999999999</v>
      </c>
      <c r="L53" s="73">
        <f>H53-I53</f>
        <v>3</v>
      </c>
      <c r="M53" s="74">
        <v>44348</v>
      </c>
      <c r="N53" s="75">
        <v>90</v>
      </c>
    </row>
    <row r="54" spans="1:14" ht="25.5" x14ac:dyDescent="0.25">
      <c r="A54" s="172" t="s">
        <v>384</v>
      </c>
      <c r="B54" s="172" t="s">
        <v>379</v>
      </c>
      <c r="C54" s="70">
        <v>531406</v>
      </c>
      <c r="D54" s="172" t="s">
        <v>380</v>
      </c>
      <c r="E54" s="71" t="s">
        <v>173</v>
      </c>
      <c r="F54" s="72" t="s">
        <v>174</v>
      </c>
      <c r="G54" s="72" t="s">
        <v>172</v>
      </c>
      <c r="H54" s="76">
        <v>9391.43</v>
      </c>
      <c r="I54" s="76">
        <v>8390</v>
      </c>
      <c r="J54" s="77">
        <f>I54*0.12</f>
        <v>1006.8</v>
      </c>
      <c r="K54" s="73">
        <f>I54+J54</f>
        <v>9396.7999999999993</v>
      </c>
      <c r="L54" s="73">
        <f>H54-I54</f>
        <v>1001.4300000000003</v>
      </c>
      <c r="M54" s="74">
        <v>44368</v>
      </c>
      <c r="N54" s="75">
        <v>30</v>
      </c>
    </row>
    <row r="55" spans="1:14" ht="25.5" hidden="1" x14ac:dyDescent="0.25">
      <c r="A55" s="29"/>
      <c r="B55" s="29"/>
      <c r="C55" s="29"/>
      <c r="D55" s="29"/>
      <c r="E55" s="30" t="s">
        <v>175</v>
      </c>
      <c r="F55" s="28" t="s">
        <v>176</v>
      </c>
      <c r="G55" s="28" t="s">
        <v>65</v>
      </c>
      <c r="H55" s="28" t="s">
        <v>26</v>
      </c>
      <c r="I55" s="31"/>
      <c r="J55" s="32"/>
      <c r="K55" s="33"/>
      <c r="L55" s="33"/>
      <c r="M55" s="34"/>
      <c r="N55" s="35"/>
    </row>
    <row r="56" spans="1:14" ht="38.25" x14ac:dyDescent="0.25">
      <c r="A56" s="172" t="s">
        <v>381</v>
      </c>
      <c r="B56" s="172" t="s">
        <v>379</v>
      </c>
      <c r="C56" s="70">
        <v>530802</v>
      </c>
      <c r="D56" s="172" t="s">
        <v>380</v>
      </c>
      <c r="E56" s="71" t="s">
        <v>177</v>
      </c>
      <c r="F56" s="72" t="s">
        <v>178</v>
      </c>
      <c r="G56" s="72" t="s">
        <v>172</v>
      </c>
      <c r="H56" s="76">
        <v>2410690.37</v>
      </c>
      <c r="I56" s="76">
        <v>2408628.9</v>
      </c>
      <c r="J56" s="77">
        <f>I56*0.12</f>
        <v>289035.46799999999</v>
      </c>
      <c r="K56" s="73">
        <f>I56+J56</f>
        <v>2697664.3679999998</v>
      </c>
      <c r="L56" s="73">
        <f>H56-I56</f>
        <v>2061.4700000002049</v>
      </c>
      <c r="M56" s="74">
        <v>44361</v>
      </c>
      <c r="N56" s="75">
        <v>190</v>
      </c>
    </row>
    <row r="57" spans="1:14" ht="25.5" hidden="1" x14ac:dyDescent="0.25">
      <c r="A57" s="70"/>
      <c r="B57" s="70"/>
      <c r="C57" s="70">
        <v>531002</v>
      </c>
      <c r="D57" s="70"/>
      <c r="E57" s="71" t="s">
        <v>179</v>
      </c>
      <c r="F57" s="72" t="s">
        <v>180</v>
      </c>
      <c r="G57" s="72" t="s">
        <v>172</v>
      </c>
      <c r="H57" s="76">
        <v>1221608.5</v>
      </c>
      <c r="I57" s="76">
        <v>1221608.5</v>
      </c>
      <c r="J57" s="77">
        <f>I57*0.12</f>
        <v>146593.01999999999</v>
      </c>
      <c r="K57" s="73">
        <f>I57+J57</f>
        <v>1368201.52</v>
      </c>
      <c r="L57" s="73">
        <f>H57-I57</f>
        <v>0</v>
      </c>
      <c r="M57" s="74">
        <v>44361</v>
      </c>
      <c r="N57" s="75">
        <v>180</v>
      </c>
    </row>
    <row r="58" spans="1:14" ht="25.5" x14ac:dyDescent="0.25">
      <c r="A58" s="172" t="s">
        <v>384</v>
      </c>
      <c r="B58" s="172" t="s">
        <v>379</v>
      </c>
      <c r="C58" s="70">
        <v>530410</v>
      </c>
      <c r="D58" s="172" t="s">
        <v>380</v>
      </c>
      <c r="E58" s="71" t="s">
        <v>182</v>
      </c>
      <c r="F58" s="72" t="s">
        <v>183</v>
      </c>
      <c r="G58" s="72" t="s">
        <v>172</v>
      </c>
      <c r="H58" s="76">
        <v>14285.71</v>
      </c>
      <c r="I58" s="76">
        <v>14200</v>
      </c>
      <c r="J58" s="77">
        <f>I58*0.12</f>
        <v>1704</v>
      </c>
      <c r="K58" s="73">
        <f>I58+J58</f>
        <v>15904</v>
      </c>
      <c r="L58" s="73">
        <f>H58-I58</f>
        <v>85.709999999999127</v>
      </c>
      <c r="M58" s="74">
        <v>44400</v>
      </c>
      <c r="N58" s="75">
        <v>45</v>
      </c>
    </row>
    <row r="59" spans="1:14" ht="38.25" x14ac:dyDescent="0.25">
      <c r="A59" s="172" t="s">
        <v>384</v>
      </c>
      <c r="B59" s="172" t="s">
        <v>379</v>
      </c>
      <c r="C59" s="70">
        <v>530410</v>
      </c>
      <c r="D59" s="172" t="s">
        <v>380</v>
      </c>
      <c r="E59" s="71" t="s">
        <v>184</v>
      </c>
      <c r="F59" s="72" t="s">
        <v>185</v>
      </c>
      <c r="G59" s="72" t="s">
        <v>119</v>
      </c>
      <c r="H59" s="76">
        <v>17857.14</v>
      </c>
      <c r="I59" s="76">
        <v>17800</v>
      </c>
      <c r="J59" s="77">
        <f>I59*0.12</f>
        <v>2136</v>
      </c>
      <c r="K59" s="73">
        <f>I59+J59</f>
        <v>19936</v>
      </c>
      <c r="L59" s="73">
        <f>H59-I59</f>
        <v>57.139999999999418</v>
      </c>
      <c r="M59" s="74">
        <v>44475</v>
      </c>
      <c r="N59" s="75">
        <v>45</v>
      </c>
    </row>
    <row r="60" spans="1:14" ht="25.5" hidden="1" x14ac:dyDescent="0.25">
      <c r="A60" s="29"/>
      <c r="B60" s="29"/>
      <c r="C60" s="29"/>
      <c r="D60" s="29"/>
      <c r="E60" s="30" t="s">
        <v>186</v>
      </c>
      <c r="F60" s="28" t="s">
        <v>99</v>
      </c>
      <c r="G60" s="28" t="s">
        <v>65</v>
      </c>
      <c r="H60" s="28" t="s">
        <v>26</v>
      </c>
      <c r="I60" s="31"/>
      <c r="J60" s="32"/>
      <c r="K60" s="33"/>
      <c r="L60" s="33"/>
      <c r="M60" s="34"/>
      <c r="N60" s="35"/>
    </row>
    <row r="61" spans="1:14" ht="38.25" x14ac:dyDescent="0.25">
      <c r="A61" s="172" t="s">
        <v>381</v>
      </c>
      <c r="B61" s="172" t="s">
        <v>382</v>
      </c>
      <c r="C61" s="70">
        <v>530803</v>
      </c>
      <c r="D61" s="172" t="s">
        <v>383</v>
      </c>
      <c r="E61" s="71" t="s">
        <v>187</v>
      </c>
      <c r="F61" s="72" t="s">
        <v>188</v>
      </c>
      <c r="G61" s="72" t="s">
        <v>66</v>
      </c>
      <c r="H61" s="76">
        <v>35981.160000000003</v>
      </c>
      <c r="I61" s="76">
        <v>33462.480000000003</v>
      </c>
      <c r="J61" s="77">
        <f>I61*0.12</f>
        <v>4015.4976000000001</v>
      </c>
      <c r="K61" s="73">
        <f>I61+J61</f>
        <v>37477.977600000006</v>
      </c>
      <c r="L61" s="73">
        <f>H61-I61</f>
        <v>2518.6800000000003</v>
      </c>
      <c r="M61" s="74">
        <v>44371</v>
      </c>
      <c r="N61" s="75">
        <v>15</v>
      </c>
    </row>
    <row r="62" spans="1:14" ht="51" hidden="1" x14ac:dyDescent="0.25">
      <c r="A62" s="29"/>
      <c r="B62" s="29"/>
      <c r="C62" s="29"/>
      <c r="D62" s="29"/>
      <c r="E62" s="30" t="s">
        <v>189</v>
      </c>
      <c r="F62" s="28" t="s">
        <v>190</v>
      </c>
      <c r="G62" s="28" t="s">
        <v>65</v>
      </c>
      <c r="H62" s="28" t="s">
        <v>26</v>
      </c>
      <c r="I62" s="31"/>
      <c r="J62" s="32"/>
      <c r="K62" s="33"/>
      <c r="L62" s="33"/>
      <c r="M62" s="34"/>
      <c r="N62" s="35"/>
    </row>
    <row r="63" spans="1:14" ht="25.5" x14ac:dyDescent="0.25">
      <c r="A63" s="172" t="s">
        <v>385</v>
      </c>
      <c r="B63" s="172" t="s">
        <v>380</v>
      </c>
      <c r="C63" s="70">
        <v>530504</v>
      </c>
      <c r="D63" s="172" t="s">
        <v>380</v>
      </c>
      <c r="E63" s="71" t="s">
        <v>191</v>
      </c>
      <c r="F63" s="72" t="s">
        <v>166</v>
      </c>
      <c r="G63" s="72" t="s">
        <v>172</v>
      </c>
      <c r="H63" s="76">
        <v>9821.43</v>
      </c>
      <c r="I63" s="76">
        <v>5900</v>
      </c>
      <c r="J63" s="77">
        <f>I63*0.12</f>
        <v>708</v>
      </c>
      <c r="K63" s="73">
        <f>I63+J63</f>
        <v>6608</v>
      </c>
      <c r="L63" s="73">
        <f>H63-I63</f>
        <v>3921.4300000000003</v>
      </c>
      <c r="M63" s="74">
        <v>44368</v>
      </c>
      <c r="N63" s="75">
        <v>190</v>
      </c>
    </row>
    <row r="64" spans="1:14" ht="25.5" hidden="1" x14ac:dyDescent="0.25">
      <c r="A64" s="29"/>
      <c r="B64" s="29"/>
      <c r="C64" s="29"/>
      <c r="D64" s="29"/>
      <c r="E64" s="30" t="s">
        <v>204</v>
      </c>
      <c r="F64" s="28" t="s">
        <v>205</v>
      </c>
      <c r="G64" s="28" t="s">
        <v>143</v>
      </c>
      <c r="H64" s="28" t="s">
        <v>206</v>
      </c>
      <c r="I64" s="31"/>
      <c r="J64" s="32"/>
      <c r="K64" s="33"/>
      <c r="L64" s="33"/>
      <c r="M64" s="34"/>
      <c r="N64" s="35"/>
    </row>
    <row r="65" spans="1:14" ht="38.25" hidden="1" x14ac:dyDescent="0.25">
      <c r="A65" s="70"/>
      <c r="B65" s="70"/>
      <c r="C65" s="165" t="s">
        <v>290</v>
      </c>
      <c r="D65" s="165"/>
      <c r="E65" s="71" t="s">
        <v>207</v>
      </c>
      <c r="F65" s="72" t="s">
        <v>53</v>
      </c>
      <c r="G65" s="72" t="s">
        <v>172</v>
      </c>
      <c r="H65" s="76">
        <v>179733.93</v>
      </c>
      <c r="I65" s="76">
        <v>179733.93</v>
      </c>
      <c r="J65" s="77">
        <f>I65*0.12</f>
        <v>21568.071599999999</v>
      </c>
      <c r="K65" s="73">
        <f>I65+J65</f>
        <v>201302.00159999999</v>
      </c>
      <c r="L65" s="73">
        <f>H65-I65</f>
        <v>0</v>
      </c>
      <c r="M65" s="74">
        <v>44383</v>
      </c>
      <c r="N65" s="75">
        <v>60</v>
      </c>
    </row>
    <row r="66" spans="1:14" ht="25.5" hidden="1" x14ac:dyDescent="0.25">
      <c r="A66" s="70"/>
      <c r="B66" s="70"/>
      <c r="C66" s="70">
        <v>530417</v>
      </c>
      <c r="D66" s="70"/>
      <c r="E66" s="71" t="s">
        <v>208</v>
      </c>
      <c r="F66" s="72" t="s">
        <v>70</v>
      </c>
      <c r="G66" s="72" t="s">
        <v>172</v>
      </c>
      <c r="H66" s="76">
        <v>89285.71</v>
      </c>
      <c r="I66" s="76">
        <v>89285.71</v>
      </c>
      <c r="J66" s="77">
        <f>I66*0.12</f>
        <v>10714.2852</v>
      </c>
      <c r="K66" s="73">
        <f>I66+J66</f>
        <v>99999.995200000005</v>
      </c>
      <c r="L66" s="73">
        <f>H66-I66</f>
        <v>0</v>
      </c>
      <c r="M66" s="74">
        <v>44354</v>
      </c>
      <c r="N66" s="75">
        <v>60</v>
      </c>
    </row>
    <row r="67" spans="1:14" ht="63.75" x14ac:dyDescent="0.25">
      <c r="A67" s="172" t="s">
        <v>381</v>
      </c>
      <c r="B67" s="172" t="s">
        <v>382</v>
      </c>
      <c r="C67" s="70">
        <v>530813</v>
      </c>
      <c r="D67" s="172" t="s">
        <v>383</v>
      </c>
      <c r="E67" s="71" t="s">
        <v>209</v>
      </c>
      <c r="F67" s="72" t="s">
        <v>127</v>
      </c>
      <c r="G67" s="72" t="s">
        <v>66</v>
      </c>
      <c r="H67" s="76">
        <v>31002</v>
      </c>
      <c r="I67" s="76">
        <v>29296.89</v>
      </c>
      <c r="J67" s="77">
        <f>I67*0.12</f>
        <v>3515.6268</v>
      </c>
      <c r="K67" s="73">
        <f>I67+J67</f>
        <v>32812.516799999998</v>
      </c>
      <c r="L67" s="73">
        <f>H67-I67</f>
        <v>1705.1100000000006</v>
      </c>
      <c r="M67" s="74">
        <v>44376</v>
      </c>
      <c r="N67" s="75">
        <v>20</v>
      </c>
    </row>
    <row r="68" spans="1:14" s="1" customFormat="1" ht="25.5" hidden="1" x14ac:dyDescent="0.25">
      <c r="A68" s="70"/>
      <c r="B68" s="70"/>
      <c r="C68" s="70">
        <v>530417</v>
      </c>
      <c r="D68" s="70"/>
      <c r="E68" s="71" t="s">
        <v>216</v>
      </c>
      <c r="F68" s="72" t="s">
        <v>217</v>
      </c>
      <c r="G68" s="72" t="s">
        <v>172</v>
      </c>
      <c r="H68" s="76">
        <v>48280.36</v>
      </c>
      <c r="I68" s="76">
        <v>48280.36</v>
      </c>
      <c r="J68" s="77">
        <f>I68*0.12</f>
        <v>5793.6431999999995</v>
      </c>
      <c r="K68" s="73">
        <f>I68+J68</f>
        <v>54074.003199999999</v>
      </c>
      <c r="L68" s="73">
        <f>H68-I68</f>
        <v>0</v>
      </c>
      <c r="M68" s="74">
        <v>44378</v>
      </c>
      <c r="N68" s="75">
        <v>120</v>
      </c>
    </row>
    <row r="69" spans="1:14" s="1" customFormat="1" ht="51" x14ac:dyDescent="0.25">
      <c r="A69" s="172" t="s">
        <v>384</v>
      </c>
      <c r="B69" s="172" t="s">
        <v>379</v>
      </c>
      <c r="C69" s="70">
        <v>530813</v>
      </c>
      <c r="D69" s="172" t="s">
        <v>380</v>
      </c>
      <c r="E69" s="71" t="s">
        <v>218</v>
      </c>
      <c r="F69" s="72" t="s">
        <v>219</v>
      </c>
      <c r="G69" s="123" t="s">
        <v>119</v>
      </c>
      <c r="H69" s="76">
        <v>53120</v>
      </c>
      <c r="I69" s="76">
        <v>47000</v>
      </c>
      <c r="J69" s="77">
        <f>I69*0.12</f>
        <v>5640</v>
      </c>
      <c r="K69" s="73">
        <f>I69+J69</f>
        <v>52640</v>
      </c>
      <c r="L69" s="73">
        <f>H69-I69</f>
        <v>6120</v>
      </c>
      <c r="M69" s="74">
        <v>44390</v>
      </c>
      <c r="N69" s="75">
        <v>45</v>
      </c>
    </row>
    <row r="70" spans="1:14" s="1" customFormat="1" ht="38.25" hidden="1" x14ac:dyDescent="0.25">
      <c r="A70" s="81"/>
      <c r="B70" s="81"/>
      <c r="C70" s="81"/>
      <c r="D70" s="81"/>
      <c r="E70" s="82" t="s">
        <v>220</v>
      </c>
      <c r="F70" s="83" t="s">
        <v>129</v>
      </c>
      <c r="G70" s="83" t="s">
        <v>66</v>
      </c>
      <c r="H70" s="83" t="s">
        <v>27</v>
      </c>
      <c r="I70" s="150"/>
      <c r="J70" s="85"/>
      <c r="K70" s="86"/>
      <c r="L70" s="86"/>
      <c r="M70" s="87"/>
      <c r="N70" s="88"/>
    </row>
    <row r="71" spans="1:14" ht="38.25" x14ac:dyDescent="0.25">
      <c r="A71" s="172" t="s">
        <v>385</v>
      </c>
      <c r="B71" s="172" t="s">
        <v>380</v>
      </c>
      <c r="C71" s="70">
        <v>530811</v>
      </c>
      <c r="D71" s="172" t="s">
        <v>380</v>
      </c>
      <c r="E71" s="71" t="s">
        <v>221</v>
      </c>
      <c r="F71" s="72" t="s">
        <v>222</v>
      </c>
      <c r="G71" s="72" t="s">
        <v>172</v>
      </c>
      <c r="H71" s="76">
        <v>7517.11</v>
      </c>
      <c r="I71" s="76">
        <v>6360</v>
      </c>
      <c r="J71" s="77">
        <f>I71*0.12</f>
        <v>763.19999999999993</v>
      </c>
      <c r="K71" s="73">
        <f>I71+J71</f>
        <v>7123.2</v>
      </c>
      <c r="L71" s="73">
        <f>H71-I71</f>
        <v>1157.1099999999997</v>
      </c>
      <c r="M71" s="74">
        <v>44378</v>
      </c>
      <c r="N71" s="75">
        <v>20</v>
      </c>
    </row>
    <row r="72" spans="1:14" ht="76.5" hidden="1" x14ac:dyDescent="0.25">
      <c r="A72" s="29"/>
      <c r="B72" s="29"/>
      <c r="C72" s="30"/>
      <c r="D72" s="30"/>
      <c r="E72" s="28" t="s">
        <v>224</v>
      </c>
      <c r="F72" s="28" t="s">
        <v>225</v>
      </c>
      <c r="G72" s="28" t="s">
        <v>104</v>
      </c>
      <c r="H72" s="31" t="s">
        <v>226</v>
      </c>
      <c r="I72" s="121"/>
      <c r="J72" s="33"/>
      <c r="K72" s="33"/>
      <c r="L72" s="31"/>
      <c r="M72" s="29"/>
      <c r="N72" s="29"/>
    </row>
    <row r="73" spans="1:14" ht="38.25" hidden="1" x14ac:dyDescent="0.25">
      <c r="A73" s="29"/>
      <c r="B73" s="29"/>
      <c r="C73" s="30"/>
      <c r="D73" s="30"/>
      <c r="E73" s="28" t="s">
        <v>227</v>
      </c>
      <c r="F73" s="28" t="s">
        <v>228</v>
      </c>
      <c r="G73" s="28" t="s">
        <v>65</v>
      </c>
      <c r="H73" s="31" t="s">
        <v>229</v>
      </c>
      <c r="I73" s="121"/>
      <c r="J73" s="33"/>
      <c r="K73" s="33"/>
      <c r="L73" s="31"/>
      <c r="M73" s="29"/>
      <c r="N73" s="29"/>
    </row>
    <row r="74" spans="1:14" ht="51" x14ac:dyDescent="0.25">
      <c r="A74" s="172" t="s">
        <v>381</v>
      </c>
      <c r="B74" s="172" t="s">
        <v>382</v>
      </c>
      <c r="C74" s="70">
        <v>530410</v>
      </c>
      <c r="D74" s="172" t="s">
        <v>383</v>
      </c>
      <c r="E74" s="72" t="s">
        <v>230</v>
      </c>
      <c r="F74" s="72" t="s">
        <v>145</v>
      </c>
      <c r="G74" s="72" t="s">
        <v>172</v>
      </c>
      <c r="H74" s="76">
        <v>129017.86</v>
      </c>
      <c r="I74" s="76">
        <v>124000</v>
      </c>
      <c r="J74" s="77">
        <f>I74*0.12</f>
        <v>14880</v>
      </c>
      <c r="K74" s="73">
        <f>I74+J74</f>
        <v>138880</v>
      </c>
      <c r="L74" s="73">
        <f>H74-I74</f>
        <v>5017.8600000000006</v>
      </c>
      <c r="M74" s="89">
        <v>44398</v>
      </c>
      <c r="N74" s="70">
        <v>45</v>
      </c>
    </row>
    <row r="75" spans="1:14" ht="25.5" x14ac:dyDescent="0.25">
      <c r="A75" s="172"/>
      <c r="B75" s="172"/>
      <c r="C75" s="70">
        <v>530410</v>
      </c>
      <c r="D75" s="172"/>
      <c r="E75" s="72" t="s">
        <v>231</v>
      </c>
      <c r="F75" s="72" t="s">
        <v>133</v>
      </c>
      <c r="G75" s="72" t="s">
        <v>172</v>
      </c>
      <c r="H75" s="76">
        <v>27800</v>
      </c>
      <c r="I75" s="76">
        <v>25854</v>
      </c>
      <c r="J75" s="77">
        <f>I75*0.12</f>
        <v>3102.48</v>
      </c>
      <c r="K75" s="73">
        <f>I75+J75</f>
        <v>28956.48</v>
      </c>
      <c r="L75" s="73">
        <f>H75-I75</f>
        <v>1946</v>
      </c>
      <c r="M75" s="89">
        <v>44390</v>
      </c>
      <c r="N75" s="70">
        <v>15</v>
      </c>
    </row>
    <row r="76" spans="1:14" ht="63.75" x14ac:dyDescent="0.25">
      <c r="A76" s="172" t="s">
        <v>384</v>
      </c>
      <c r="B76" s="172" t="s">
        <v>379</v>
      </c>
      <c r="C76" s="70">
        <v>530811</v>
      </c>
      <c r="D76" s="172" t="s">
        <v>380</v>
      </c>
      <c r="E76" s="72" t="s">
        <v>232</v>
      </c>
      <c r="F76" s="72" t="s">
        <v>233</v>
      </c>
      <c r="G76" s="72" t="s">
        <v>172</v>
      </c>
      <c r="H76" s="76">
        <v>31174.15</v>
      </c>
      <c r="I76" s="76">
        <v>29459.57</v>
      </c>
      <c r="J76" s="77">
        <f>I76*0.12</f>
        <v>3535.1484</v>
      </c>
      <c r="K76" s="73">
        <f>I76+J76</f>
        <v>32994.718399999998</v>
      </c>
      <c r="L76" s="73">
        <f>H76-I76</f>
        <v>1714.5800000000017</v>
      </c>
      <c r="M76" s="89">
        <v>44390</v>
      </c>
      <c r="N76" s="70">
        <v>15</v>
      </c>
    </row>
    <row r="77" spans="1:14" ht="76.5" x14ac:dyDescent="0.25">
      <c r="A77" s="172" t="s">
        <v>385</v>
      </c>
      <c r="B77" s="172" t="s">
        <v>380</v>
      </c>
      <c r="C77" s="70">
        <v>530202</v>
      </c>
      <c r="D77" s="172" t="s">
        <v>380</v>
      </c>
      <c r="E77" s="72" t="s">
        <v>236</v>
      </c>
      <c r="F77" s="72" t="s">
        <v>237</v>
      </c>
      <c r="G77" s="72" t="s">
        <v>172</v>
      </c>
      <c r="H77" s="76">
        <v>86244</v>
      </c>
      <c r="I77" s="76">
        <v>81835</v>
      </c>
      <c r="J77" s="77">
        <f>I77*0.12</f>
        <v>9820.1999999999989</v>
      </c>
      <c r="K77" s="73">
        <f>I77+J77</f>
        <v>91655.2</v>
      </c>
      <c r="L77" s="73">
        <f>H77-I77</f>
        <v>4409</v>
      </c>
      <c r="M77" s="89">
        <v>44412</v>
      </c>
      <c r="N77" s="70">
        <v>350</v>
      </c>
    </row>
    <row r="78" spans="1:14" ht="25.5" hidden="1" x14ac:dyDescent="0.25">
      <c r="A78" s="29"/>
      <c r="B78" s="29"/>
      <c r="C78" s="30"/>
      <c r="D78" s="30"/>
      <c r="E78" s="28" t="s">
        <v>238</v>
      </c>
      <c r="F78" s="28" t="s">
        <v>239</v>
      </c>
      <c r="G78" s="28" t="s">
        <v>104</v>
      </c>
      <c r="H78" s="31" t="s">
        <v>26</v>
      </c>
      <c r="I78" s="121"/>
      <c r="J78" s="33"/>
      <c r="K78" s="33"/>
      <c r="L78" s="31"/>
      <c r="M78" s="29"/>
      <c r="N78" s="29"/>
    </row>
    <row r="79" spans="1:14" ht="25.5" x14ac:dyDescent="0.25">
      <c r="A79" s="172" t="s">
        <v>385</v>
      </c>
      <c r="B79" s="172" t="s">
        <v>380</v>
      </c>
      <c r="C79" s="70">
        <v>530702</v>
      </c>
      <c r="D79" s="172" t="s">
        <v>380</v>
      </c>
      <c r="E79" s="72" t="s">
        <v>240</v>
      </c>
      <c r="F79" s="72" t="s">
        <v>164</v>
      </c>
      <c r="G79" s="72" t="s">
        <v>172</v>
      </c>
      <c r="H79" s="76">
        <v>12448</v>
      </c>
      <c r="I79" s="76">
        <v>11825.6</v>
      </c>
      <c r="J79" s="77">
        <f>I79*0.12</f>
        <v>1419.0719999999999</v>
      </c>
      <c r="K79" s="73">
        <f>I79+J79</f>
        <v>13244.672</v>
      </c>
      <c r="L79" s="73">
        <f>H79-I79</f>
        <v>622.39999999999964</v>
      </c>
      <c r="M79" s="89">
        <v>44392</v>
      </c>
      <c r="N79" s="70">
        <v>30</v>
      </c>
    </row>
    <row r="80" spans="1:14" ht="25.5" hidden="1" x14ac:dyDescent="0.25">
      <c r="A80" s="29"/>
      <c r="B80" s="29"/>
      <c r="C80" s="30"/>
      <c r="D80" s="30"/>
      <c r="E80" s="28" t="s">
        <v>241</v>
      </c>
      <c r="F80" s="28" t="s">
        <v>239</v>
      </c>
      <c r="G80" s="28" t="s">
        <v>65</v>
      </c>
      <c r="H80" s="121">
        <v>36497.68</v>
      </c>
      <c r="I80" s="121"/>
      <c r="J80" s="33"/>
      <c r="K80" s="33"/>
      <c r="L80" s="31"/>
      <c r="M80" s="29"/>
      <c r="N80" s="29"/>
    </row>
    <row r="81" spans="1:14" ht="25.5" x14ac:dyDescent="0.25">
      <c r="A81" s="172" t="s">
        <v>384</v>
      </c>
      <c r="B81" s="172" t="s">
        <v>379</v>
      </c>
      <c r="C81" s="70">
        <v>530417</v>
      </c>
      <c r="D81" s="172" t="s">
        <v>380</v>
      </c>
      <c r="E81" s="72" t="s">
        <v>242</v>
      </c>
      <c r="F81" s="72" t="s">
        <v>243</v>
      </c>
      <c r="G81" s="72" t="s">
        <v>172</v>
      </c>
      <c r="H81" s="76">
        <v>41050.67</v>
      </c>
      <c r="I81" s="76">
        <v>39500</v>
      </c>
      <c r="J81" s="77">
        <f>I81*0.12</f>
        <v>4740</v>
      </c>
      <c r="K81" s="73">
        <f>I81+J81</f>
        <v>44240</v>
      </c>
      <c r="L81" s="73">
        <f>H81-I81</f>
        <v>1550.6699999999983</v>
      </c>
      <c r="M81" s="89">
        <v>44392</v>
      </c>
      <c r="N81" s="70">
        <v>45</v>
      </c>
    </row>
    <row r="82" spans="1:14" ht="38.25" hidden="1" x14ac:dyDescent="0.25">
      <c r="A82" s="81"/>
      <c r="B82" s="81"/>
      <c r="C82" s="82"/>
      <c r="D82" s="82"/>
      <c r="E82" s="83" t="s">
        <v>244</v>
      </c>
      <c r="F82" s="83" t="s">
        <v>245</v>
      </c>
      <c r="G82" s="83" t="s">
        <v>66</v>
      </c>
      <c r="H82" s="84" t="s">
        <v>27</v>
      </c>
      <c r="I82" s="150"/>
      <c r="J82" s="86"/>
      <c r="K82" s="86"/>
      <c r="L82" s="84"/>
      <c r="M82" s="81"/>
      <c r="N82" s="81"/>
    </row>
    <row r="83" spans="1:14" ht="25.5" hidden="1" x14ac:dyDescent="0.25">
      <c r="A83" s="20"/>
      <c r="B83" s="20"/>
      <c r="C83" s="21"/>
      <c r="D83" s="21"/>
      <c r="E83" s="22" t="s">
        <v>246</v>
      </c>
      <c r="F83" s="22" t="s">
        <v>247</v>
      </c>
      <c r="G83" s="22" t="s">
        <v>66</v>
      </c>
      <c r="H83" s="23" t="s">
        <v>27</v>
      </c>
      <c r="I83" s="141"/>
      <c r="J83" s="24"/>
      <c r="K83" s="24"/>
      <c r="L83" s="23"/>
      <c r="M83" s="20"/>
      <c r="N83" s="20"/>
    </row>
    <row r="84" spans="1:14" ht="25.5" hidden="1" x14ac:dyDescent="0.25">
      <c r="A84" s="20"/>
      <c r="B84" s="20"/>
      <c r="C84" s="21"/>
      <c r="D84" s="21"/>
      <c r="E84" s="22" t="s">
        <v>248</v>
      </c>
      <c r="F84" s="22" t="s">
        <v>249</v>
      </c>
      <c r="G84" s="22" t="s">
        <v>66</v>
      </c>
      <c r="H84" s="23" t="s">
        <v>27</v>
      </c>
      <c r="I84" s="141"/>
      <c r="J84" s="24"/>
      <c r="K84" s="24"/>
      <c r="L84" s="23"/>
      <c r="M84" s="20"/>
      <c r="N84" s="20"/>
    </row>
    <row r="85" spans="1:14" ht="38.25" hidden="1" x14ac:dyDescent="0.25">
      <c r="A85" s="29"/>
      <c r="B85" s="29"/>
      <c r="C85" s="30"/>
      <c r="D85" s="30"/>
      <c r="E85" s="28" t="s">
        <v>250</v>
      </c>
      <c r="F85" s="28" t="s">
        <v>251</v>
      </c>
      <c r="G85" s="28" t="s">
        <v>65</v>
      </c>
      <c r="H85" s="121" t="s">
        <v>252</v>
      </c>
      <c r="I85" s="121"/>
      <c r="J85" s="33"/>
      <c r="K85" s="33"/>
      <c r="L85" s="31"/>
      <c r="M85" s="29"/>
      <c r="N85" s="29"/>
    </row>
    <row r="86" spans="1:14" ht="25.5" hidden="1" x14ac:dyDescent="0.25">
      <c r="A86" s="70"/>
      <c r="B86" s="70"/>
      <c r="C86" s="70">
        <v>530410</v>
      </c>
      <c r="D86" s="70"/>
      <c r="E86" s="72" t="s">
        <v>253</v>
      </c>
      <c r="F86" s="72" t="s">
        <v>254</v>
      </c>
      <c r="G86" s="72" t="s">
        <v>172</v>
      </c>
      <c r="H86" s="76">
        <v>872779.86</v>
      </c>
      <c r="I86" s="76">
        <v>872779.86</v>
      </c>
      <c r="J86" s="77">
        <f>I86*0.12</f>
        <v>104733.58319999999</v>
      </c>
      <c r="K86" s="73">
        <f>I86+J86</f>
        <v>977513.44319999998</v>
      </c>
      <c r="L86" s="73">
        <f>H86-I86</f>
        <v>0</v>
      </c>
      <c r="M86" s="89">
        <v>44390</v>
      </c>
      <c r="N86" s="70">
        <v>90</v>
      </c>
    </row>
    <row r="87" spans="1:14" ht="51" hidden="1" x14ac:dyDescent="0.25">
      <c r="A87" s="70"/>
      <c r="B87" s="70"/>
      <c r="C87" s="70">
        <v>530410</v>
      </c>
      <c r="D87" s="70"/>
      <c r="E87" s="72" t="s">
        <v>256</v>
      </c>
      <c r="F87" s="72" t="s">
        <v>257</v>
      </c>
      <c r="G87" s="72" t="s">
        <v>172</v>
      </c>
      <c r="H87" s="76">
        <v>687100.24</v>
      </c>
      <c r="I87" s="76">
        <v>687100.24</v>
      </c>
      <c r="J87" s="77">
        <f>I87*0.12</f>
        <v>82452.0288</v>
      </c>
      <c r="K87" s="73">
        <f>I87+J87</f>
        <v>769552.26879999996</v>
      </c>
      <c r="L87" s="73">
        <f>H87-I87</f>
        <v>0</v>
      </c>
      <c r="M87" s="89">
        <v>44391</v>
      </c>
      <c r="N87" s="70">
        <v>120</v>
      </c>
    </row>
    <row r="88" spans="1:14" ht="25.5" hidden="1" x14ac:dyDescent="0.25">
      <c r="A88" s="29"/>
      <c r="B88" s="29"/>
      <c r="C88" s="30"/>
      <c r="D88" s="30"/>
      <c r="E88" s="28" t="s">
        <v>258</v>
      </c>
      <c r="F88" s="28" t="s">
        <v>254</v>
      </c>
      <c r="G88" s="28" t="s">
        <v>104</v>
      </c>
      <c r="H88" s="31" t="s">
        <v>255</v>
      </c>
      <c r="I88" s="121"/>
      <c r="J88" s="33"/>
      <c r="K88" s="33"/>
      <c r="L88" s="31"/>
      <c r="M88" s="29"/>
      <c r="N88" s="29"/>
    </row>
    <row r="89" spans="1:14" ht="51" hidden="1" x14ac:dyDescent="0.25">
      <c r="A89" s="70"/>
      <c r="B89" s="70"/>
      <c r="C89" s="70">
        <v>530405</v>
      </c>
      <c r="D89" s="70"/>
      <c r="E89" s="72" t="s">
        <v>259</v>
      </c>
      <c r="F89" s="72" t="s">
        <v>260</v>
      </c>
      <c r="G89" s="72" t="s">
        <v>172</v>
      </c>
      <c r="H89" s="76">
        <v>300000</v>
      </c>
      <c r="I89" s="76">
        <v>300000</v>
      </c>
      <c r="J89" s="77">
        <f>I89*0.12</f>
        <v>36000</v>
      </c>
      <c r="K89" s="73">
        <f>I89+J89</f>
        <v>336000</v>
      </c>
      <c r="L89" s="73">
        <f>H89-I89</f>
        <v>0</v>
      </c>
      <c r="M89" s="89">
        <v>44421</v>
      </c>
      <c r="N89" s="70">
        <v>180</v>
      </c>
    </row>
    <row r="90" spans="1:14" ht="25.5" hidden="1" x14ac:dyDescent="0.25">
      <c r="A90" s="29"/>
      <c r="B90" s="29"/>
      <c r="C90" s="30"/>
      <c r="D90" s="30"/>
      <c r="E90" s="28" t="s">
        <v>261</v>
      </c>
      <c r="F90" s="28" t="s">
        <v>176</v>
      </c>
      <c r="G90" s="28" t="s">
        <v>65</v>
      </c>
      <c r="H90" s="121">
        <v>17500</v>
      </c>
      <c r="I90" s="121"/>
      <c r="J90" s="33"/>
      <c r="K90" s="33"/>
      <c r="L90" s="31"/>
      <c r="M90" s="29"/>
      <c r="N90" s="29"/>
    </row>
    <row r="91" spans="1:14" ht="51" hidden="1" x14ac:dyDescent="0.25">
      <c r="A91" s="29"/>
      <c r="B91" s="29"/>
      <c r="C91" s="30"/>
      <c r="D91" s="30"/>
      <c r="E91" s="28" t="s">
        <v>262</v>
      </c>
      <c r="F91" s="28" t="s">
        <v>190</v>
      </c>
      <c r="G91" s="28" t="s">
        <v>65</v>
      </c>
      <c r="H91" s="121">
        <v>80000</v>
      </c>
      <c r="I91" s="121"/>
      <c r="J91" s="33"/>
      <c r="K91" s="33"/>
      <c r="L91" s="31"/>
      <c r="M91" s="29"/>
      <c r="N91" s="29"/>
    </row>
    <row r="92" spans="1:14" ht="25.5" hidden="1" x14ac:dyDescent="0.25">
      <c r="A92" s="159"/>
      <c r="B92" s="159"/>
      <c r="C92" s="159">
        <v>530402</v>
      </c>
      <c r="D92" s="159"/>
      <c r="E92" s="160" t="s">
        <v>263</v>
      </c>
      <c r="F92" s="160" t="s">
        <v>264</v>
      </c>
      <c r="G92" s="160" t="s">
        <v>349</v>
      </c>
      <c r="H92" s="161">
        <v>9764.84</v>
      </c>
      <c r="I92" s="161">
        <v>9764.84</v>
      </c>
      <c r="J92" s="162">
        <f>I92*0.12</f>
        <v>1171.7808</v>
      </c>
      <c r="K92" s="163">
        <f>I92+J92</f>
        <v>10936.620800000001</v>
      </c>
      <c r="L92" s="163">
        <f>H92-I92</f>
        <v>0</v>
      </c>
      <c r="M92" s="164">
        <v>44421</v>
      </c>
      <c r="N92" s="159">
        <v>15</v>
      </c>
    </row>
    <row r="93" spans="1:14" ht="25.5" hidden="1" x14ac:dyDescent="0.25">
      <c r="A93" s="70"/>
      <c r="B93" s="70"/>
      <c r="C93" s="70">
        <v>530417</v>
      </c>
      <c r="D93" s="70"/>
      <c r="E93" s="72" t="s">
        <v>265</v>
      </c>
      <c r="F93" s="72" t="s">
        <v>266</v>
      </c>
      <c r="G93" s="72" t="s">
        <v>172</v>
      </c>
      <c r="H93" s="76">
        <v>223214.29</v>
      </c>
      <c r="I93" s="76">
        <v>223214.29</v>
      </c>
      <c r="J93" s="77">
        <f>I93*0.12</f>
        <v>26785.714800000002</v>
      </c>
      <c r="K93" s="73">
        <f>I93+J93</f>
        <v>250000.0048</v>
      </c>
      <c r="L93" s="73">
        <f>H93-I93</f>
        <v>0</v>
      </c>
      <c r="M93" s="89">
        <v>44410</v>
      </c>
      <c r="N93" s="70">
        <v>90</v>
      </c>
    </row>
    <row r="94" spans="1:14" ht="25.5" hidden="1" x14ac:dyDescent="0.25">
      <c r="A94" s="29"/>
      <c r="B94" s="29"/>
      <c r="C94" s="30"/>
      <c r="D94" s="30"/>
      <c r="E94" s="28" t="s">
        <v>267</v>
      </c>
      <c r="F94" s="28" t="s">
        <v>43</v>
      </c>
      <c r="G94" s="28" t="s">
        <v>65</v>
      </c>
      <c r="H94" s="121">
        <v>91393.05</v>
      </c>
      <c r="I94" s="32"/>
      <c r="J94" s="33"/>
      <c r="K94" s="33"/>
      <c r="L94" s="31"/>
      <c r="M94" s="29"/>
      <c r="N94" s="29"/>
    </row>
    <row r="95" spans="1:14" ht="25.5" hidden="1" x14ac:dyDescent="0.25">
      <c r="A95" s="29"/>
      <c r="B95" s="29"/>
      <c r="C95" s="30"/>
      <c r="D95" s="30"/>
      <c r="E95" s="28" t="s">
        <v>268</v>
      </c>
      <c r="F95" s="28" t="s">
        <v>269</v>
      </c>
      <c r="G95" s="28" t="s">
        <v>65</v>
      </c>
      <c r="H95" s="121">
        <v>22321.43</v>
      </c>
      <c r="I95" s="32"/>
      <c r="J95" s="33"/>
      <c r="K95" s="33"/>
      <c r="L95" s="31"/>
      <c r="M95" s="29"/>
      <c r="N95" s="29"/>
    </row>
    <row r="96" spans="1:14" ht="63.75" hidden="1" x14ac:dyDescent="0.25">
      <c r="A96" s="29"/>
      <c r="B96" s="29"/>
      <c r="C96" s="30"/>
      <c r="D96" s="30"/>
      <c r="E96" s="28" t="s">
        <v>270</v>
      </c>
      <c r="F96" s="28" t="s">
        <v>271</v>
      </c>
      <c r="G96" s="28" t="s">
        <v>65</v>
      </c>
      <c r="H96" s="121">
        <v>122480.63</v>
      </c>
      <c r="I96" s="32"/>
      <c r="J96" s="33"/>
      <c r="K96" s="33"/>
      <c r="L96" s="31"/>
      <c r="M96" s="29"/>
      <c r="N96" s="29"/>
    </row>
    <row r="97" spans="1:14" s="1" customFormat="1" ht="38.25" hidden="1" x14ac:dyDescent="0.25">
      <c r="A97" s="70"/>
      <c r="B97" s="70"/>
      <c r="C97" s="70">
        <v>530811</v>
      </c>
      <c r="D97" s="70"/>
      <c r="E97" s="72" t="s">
        <v>272</v>
      </c>
      <c r="F97" s="72" t="s">
        <v>251</v>
      </c>
      <c r="G97" s="72" t="s">
        <v>172</v>
      </c>
      <c r="H97" s="76">
        <v>21681.15</v>
      </c>
      <c r="I97" s="77">
        <v>21681.15</v>
      </c>
      <c r="J97" s="77">
        <f>I97*0.12</f>
        <v>2601.7380000000003</v>
      </c>
      <c r="K97" s="73">
        <f>I97+J97</f>
        <v>24282.888000000003</v>
      </c>
      <c r="L97" s="73">
        <f>H97-I97</f>
        <v>0</v>
      </c>
      <c r="M97" s="89">
        <v>44400</v>
      </c>
      <c r="N97" s="70">
        <v>45</v>
      </c>
    </row>
    <row r="98" spans="1:14" s="1" customFormat="1" ht="38.25" x14ac:dyDescent="0.25">
      <c r="A98" s="172" t="s">
        <v>384</v>
      </c>
      <c r="B98" s="172" t="s">
        <v>379</v>
      </c>
      <c r="C98" s="70">
        <v>530813</v>
      </c>
      <c r="D98" s="172" t="s">
        <v>380</v>
      </c>
      <c r="E98" s="72" t="s">
        <v>278</v>
      </c>
      <c r="F98" s="72" t="s">
        <v>279</v>
      </c>
      <c r="G98" s="72" t="s">
        <v>172</v>
      </c>
      <c r="H98" s="76">
        <v>17390.490000000002</v>
      </c>
      <c r="I98" s="77">
        <v>15000</v>
      </c>
      <c r="J98" s="77">
        <f>I98*0.12</f>
        <v>1800</v>
      </c>
      <c r="K98" s="73">
        <f>I98+J98</f>
        <v>16800</v>
      </c>
      <c r="L98" s="73">
        <f>H98-I98</f>
        <v>2390.4900000000016</v>
      </c>
      <c r="M98" s="89">
        <v>44420</v>
      </c>
      <c r="N98" s="70">
        <v>10</v>
      </c>
    </row>
    <row r="99" spans="1:14" s="1" customFormat="1" ht="25.5" x14ac:dyDescent="0.25">
      <c r="A99" s="172" t="s">
        <v>384</v>
      </c>
      <c r="B99" s="172" t="s">
        <v>379</v>
      </c>
      <c r="C99" s="70">
        <v>530813</v>
      </c>
      <c r="D99" s="172" t="s">
        <v>380</v>
      </c>
      <c r="E99" s="72" t="s">
        <v>280</v>
      </c>
      <c r="F99" s="72" t="s">
        <v>281</v>
      </c>
      <c r="G99" s="72" t="s">
        <v>172</v>
      </c>
      <c r="H99" s="76">
        <v>9572.43</v>
      </c>
      <c r="I99" s="77">
        <v>8100</v>
      </c>
      <c r="J99" s="77">
        <f>I99*0.12</f>
        <v>972</v>
      </c>
      <c r="K99" s="73">
        <f>I99+J99</f>
        <v>9072</v>
      </c>
      <c r="L99" s="73">
        <f>H99-I99</f>
        <v>1472.4300000000003</v>
      </c>
      <c r="M99" s="89">
        <v>44421</v>
      </c>
      <c r="N99" s="70">
        <v>60</v>
      </c>
    </row>
    <row r="100" spans="1:14" s="1" customFormat="1" ht="63.75" hidden="1" x14ac:dyDescent="0.25">
      <c r="A100" s="29"/>
      <c r="B100" s="29"/>
      <c r="C100" s="30"/>
      <c r="D100" s="30"/>
      <c r="E100" s="28" t="s">
        <v>282</v>
      </c>
      <c r="F100" s="28" t="s">
        <v>283</v>
      </c>
      <c r="G100" s="28" t="s">
        <v>65</v>
      </c>
      <c r="H100" s="121">
        <v>19721.400000000001</v>
      </c>
      <c r="I100" s="32"/>
      <c r="J100" s="33"/>
      <c r="K100" s="33"/>
      <c r="L100" s="31"/>
      <c r="M100" s="29"/>
      <c r="N100" s="29"/>
    </row>
    <row r="101" spans="1:14" s="1" customFormat="1" ht="38.25" hidden="1" x14ac:dyDescent="0.25">
      <c r="A101" s="20"/>
      <c r="B101" s="20"/>
      <c r="C101" s="21"/>
      <c r="D101" s="21"/>
      <c r="E101" s="22" t="s">
        <v>284</v>
      </c>
      <c r="F101" s="22" t="s">
        <v>285</v>
      </c>
      <c r="G101" s="22" t="s">
        <v>66</v>
      </c>
      <c r="H101" s="141">
        <v>0</v>
      </c>
      <c r="I101" s="27"/>
      <c r="J101" s="24"/>
      <c r="K101" s="24"/>
      <c r="L101" s="23"/>
      <c r="M101" s="20"/>
      <c r="N101" s="20"/>
    </row>
    <row r="102" spans="1:14" s="1" customFormat="1" ht="38.25" hidden="1" x14ac:dyDescent="0.25">
      <c r="A102" s="29"/>
      <c r="B102" s="29"/>
      <c r="C102" s="30"/>
      <c r="D102" s="30"/>
      <c r="E102" s="28" t="s">
        <v>286</v>
      </c>
      <c r="F102" s="28" t="s">
        <v>287</v>
      </c>
      <c r="G102" s="28" t="s">
        <v>65</v>
      </c>
      <c r="H102" s="121">
        <v>63467.17</v>
      </c>
      <c r="I102" s="32"/>
      <c r="J102" s="33"/>
      <c r="K102" s="33"/>
      <c r="L102" s="31"/>
      <c r="M102" s="29"/>
      <c r="N102" s="29"/>
    </row>
    <row r="103" spans="1:14" s="1" customFormat="1" ht="38.25" x14ac:dyDescent="0.25">
      <c r="A103" s="172" t="s">
        <v>384</v>
      </c>
      <c r="B103" s="172" t="s">
        <v>379</v>
      </c>
      <c r="C103" s="70">
        <v>530813</v>
      </c>
      <c r="D103" s="172" t="s">
        <v>380</v>
      </c>
      <c r="E103" s="72" t="s">
        <v>292</v>
      </c>
      <c r="F103" s="72" t="s">
        <v>293</v>
      </c>
      <c r="G103" s="72" t="s">
        <v>172</v>
      </c>
      <c r="H103" s="76">
        <v>22855</v>
      </c>
      <c r="I103" s="77">
        <v>19899</v>
      </c>
      <c r="J103" s="77">
        <f>I103*0.12</f>
        <v>2387.88</v>
      </c>
      <c r="K103" s="73">
        <f>I103+J103</f>
        <v>22286.880000000001</v>
      </c>
      <c r="L103" s="73">
        <f>H103-I103</f>
        <v>2956</v>
      </c>
      <c r="M103" s="89">
        <v>44418</v>
      </c>
      <c r="N103" s="70">
        <v>90</v>
      </c>
    </row>
    <row r="104" spans="1:14" s="1" customFormat="1" ht="25.5" x14ac:dyDescent="0.25">
      <c r="A104" s="172" t="s">
        <v>384</v>
      </c>
      <c r="B104" s="172" t="s">
        <v>379</v>
      </c>
      <c r="C104" s="70">
        <v>530404</v>
      </c>
      <c r="D104" s="172" t="s">
        <v>387</v>
      </c>
      <c r="E104" s="72" t="s">
        <v>294</v>
      </c>
      <c r="F104" s="72" t="s">
        <v>295</v>
      </c>
      <c r="G104" s="72" t="s">
        <v>172</v>
      </c>
      <c r="H104" s="76">
        <v>21017.14</v>
      </c>
      <c r="I104" s="77">
        <v>14500</v>
      </c>
      <c r="J104" s="77">
        <f>I104*0.12</f>
        <v>1740</v>
      </c>
      <c r="K104" s="73">
        <f>I104+J104</f>
        <v>16240</v>
      </c>
      <c r="L104" s="73">
        <f>H104-I104</f>
        <v>6517.1399999999994</v>
      </c>
      <c r="M104" s="89">
        <v>44420</v>
      </c>
      <c r="N104" s="70">
        <v>60</v>
      </c>
    </row>
    <row r="105" spans="1:14" s="1" customFormat="1" ht="25.5" hidden="1" x14ac:dyDescent="0.25">
      <c r="A105" s="81"/>
      <c r="B105" s="81"/>
      <c r="C105" s="82"/>
      <c r="D105" s="82"/>
      <c r="E105" s="83" t="s">
        <v>296</v>
      </c>
      <c r="F105" s="83" t="s">
        <v>297</v>
      </c>
      <c r="G105" s="83" t="s">
        <v>104</v>
      </c>
      <c r="H105" s="150" t="s">
        <v>27</v>
      </c>
      <c r="I105" s="85"/>
      <c r="J105" s="86"/>
      <c r="K105" s="86"/>
      <c r="L105" s="84"/>
      <c r="M105" s="81"/>
      <c r="N105" s="81"/>
    </row>
    <row r="106" spans="1:14" s="1" customFormat="1" ht="25.5" hidden="1" x14ac:dyDescent="0.25">
      <c r="A106" s="81"/>
      <c r="B106" s="81"/>
      <c r="C106" s="82"/>
      <c r="D106" s="82"/>
      <c r="E106" s="83" t="s">
        <v>298</v>
      </c>
      <c r="F106" s="83" t="s">
        <v>299</v>
      </c>
      <c r="G106" s="83" t="s">
        <v>66</v>
      </c>
      <c r="H106" s="150" t="s">
        <v>27</v>
      </c>
      <c r="I106" s="85"/>
      <c r="J106" s="86"/>
      <c r="K106" s="86"/>
      <c r="L106" s="84"/>
      <c r="M106" s="81"/>
      <c r="N106" s="81"/>
    </row>
    <row r="107" spans="1:14" s="1" customFormat="1" ht="25.5" hidden="1" x14ac:dyDescent="0.25">
      <c r="A107" s="70"/>
      <c r="B107" s="70"/>
      <c r="C107" s="70">
        <v>530802</v>
      </c>
      <c r="D107" s="70"/>
      <c r="E107" s="72" t="s">
        <v>300</v>
      </c>
      <c r="F107" s="72" t="s">
        <v>301</v>
      </c>
      <c r="G107" s="72" t="s">
        <v>172</v>
      </c>
      <c r="H107" s="76">
        <v>101500</v>
      </c>
      <c r="I107" s="77">
        <v>101500</v>
      </c>
      <c r="J107" s="77">
        <f>I107*0.12</f>
        <v>12180</v>
      </c>
      <c r="K107" s="73">
        <f>I107+J107</f>
        <v>113680</v>
      </c>
      <c r="L107" s="73">
        <f>H107-I107</f>
        <v>0</v>
      </c>
      <c r="M107" s="89">
        <v>44412</v>
      </c>
      <c r="N107" s="70">
        <v>90</v>
      </c>
    </row>
    <row r="108" spans="1:14" s="1" customFormat="1" ht="25.5" hidden="1" x14ac:dyDescent="0.25">
      <c r="A108" s="29"/>
      <c r="B108" s="29"/>
      <c r="C108" s="30"/>
      <c r="D108" s="30"/>
      <c r="E108" s="28" t="s">
        <v>302</v>
      </c>
      <c r="F108" s="28" t="s">
        <v>269</v>
      </c>
      <c r="G108" s="28" t="s">
        <v>65</v>
      </c>
      <c r="H108" s="121" t="s">
        <v>26</v>
      </c>
      <c r="I108" s="32"/>
      <c r="J108" s="33"/>
      <c r="K108" s="33"/>
      <c r="L108" s="31"/>
      <c r="M108" s="29"/>
      <c r="N108" s="29"/>
    </row>
    <row r="109" spans="1:14" s="1" customFormat="1" ht="63.75" x14ac:dyDescent="0.25">
      <c r="A109" s="172" t="s">
        <v>381</v>
      </c>
      <c r="B109" s="172" t="s">
        <v>382</v>
      </c>
      <c r="C109" s="70">
        <v>530813</v>
      </c>
      <c r="D109" s="172" t="s">
        <v>383</v>
      </c>
      <c r="E109" s="72" t="s">
        <v>303</v>
      </c>
      <c r="F109" s="72" t="s">
        <v>283</v>
      </c>
      <c r="G109" s="72" t="s">
        <v>172</v>
      </c>
      <c r="H109" s="76">
        <v>19721.400000000001</v>
      </c>
      <c r="I109" s="77">
        <v>19180</v>
      </c>
      <c r="J109" s="77">
        <f>I109*0.12</f>
        <v>2301.6</v>
      </c>
      <c r="K109" s="73">
        <f>I109+J109</f>
        <v>21481.599999999999</v>
      </c>
      <c r="L109" s="73">
        <f>H109-I109</f>
        <v>541.40000000000146</v>
      </c>
      <c r="M109" s="89">
        <v>44427</v>
      </c>
      <c r="N109" s="70">
        <v>60</v>
      </c>
    </row>
    <row r="110" spans="1:14" s="1" customFormat="1" ht="25.5" x14ac:dyDescent="0.25">
      <c r="A110" s="172" t="s">
        <v>384</v>
      </c>
      <c r="B110" s="172" t="s">
        <v>379</v>
      </c>
      <c r="C110" s="70">
        <v>530410</v>
      </c>
      <c r="D110" s="172" t="s">
        <v>380</v>
      </c>
      <c r="E110" s="72" t="s">
        <v>304</v>
      </c>
      <c r="F110" s="72" t="s">
        <v>305</v>
      </c>
      <c r="G110" s="72" t="s">
        <v>172</v>
      </c>
      <c r="H110" s="76">
        <v>14468</v>
      </c>
      <c r="I110" s="77">
        <v>13455.24</v>
      </c>
      <c r="J110" s="77">
        <f>I110*0.12</f>
        <v>1614.6288</v>
      </c>
      <c r="K110" s="73">
        <f>I110+J110</f>
        <v>15069.8688</v>
      </c>
      <c r="L110" s="73">
        <f>H110-I110</f>
        <v>1012.7600000000002</v>
      </c>
      <c r="M110" s="89">
        <v>44433</v>
      </c>
      <c r="N110" s="70">
        <v>45</v>
      </c>
    </row>
    <row r="111" spans="1:14" s="1" customFormat="1" ht="25.5" x14ac:dyDescent="0.25">
      <c r="A111" s="172" t="s">
        <v>385</v>
      </c>
      <c r="B111" s="172" t="s">
        <v>380</v>
      </c>
      <c r="C111" s="70">
        <v>530813</v>
      </c>
      <c r="D111" s="172" t="s">
        <v>380</v>
      </c>
      <c r="E111" s="72" t="s">
        <v>306</v>
      </c>
      <c r="F111" s="72" t="s">
        <v>307</v>
      </c>
      <c r="G111" s="72" t="s">
        <v>375</v>
      </c>
      <c r="H111" s="76">
        <v>50000</v>
      </c>
      <c r="I111" s="77">
        <v>39100</v>
      </c>
      <c r="J111" s="77">
        <f>I111*0.12</f>
        <v>4692</v>
      </c>
      <c r="K111" s="73">
        <f>I111+J111</f>
        <v>43792</v>
      </c>
      <c r="L111" s="73">
        <f>H111-I111</f>
        <v>10900</v>
      </c>
      <c r="M111" s="89">
        <v>44421</v>
      </c>
      <c r="N111" s="70">
        <v>10</v>
      </c>
    </row>
    <row r="112" spans="1:14" s="1" customFormat="1" ht="38.25" hidden="1" x14ac:dyDescent="0.25">
      <c r="A112" s="70"/>
      <c r="B112" s="70"/>
      <c r="C112" s="70">
        <v>530803</v>
      </c>
      <c r="D112" s="70"/>
      <c r="E112" s="72" t="s">
        <v>308</v>
      </c>
      <c r="F112" s="72" t="s">
        <v>287</v>
      </c>
      <c r="G112" s="72" t="s">
        <v>172</v>
      </c>
      <c r="H112" s="76">
        <v>63467.17</v>
      </c>
      <c r="I112" s="77">
        <v>63467.17</v>
      </c>
      <c r="J112" s="77">
        <f>I112*0.12</f>
        <v>7616.0603999999994</v>
      </c>
      <c r="K112" s="73">
        <f>I112+J112</f>
        <v>71083.2304</v>
      </c>
      <c r="L112" s="73">
        <f>H112-I112</f>
        <v>0</v>
      </c>
      <c r="M112" s="89">
        <v>44412</v>
      </c>
      <c r="N112" s="70">
        <v>30</v>
      </c>
    </row>
    <row r="113" spans="1:14" s="1" customFormat="1" ht="51" x14ac:dyDescent="0.25">
      <c r="A113" s="172" t="s">
        <v>381</v>
      </c>
      <c r="B113" s="172" t="s">
        <v>382</v>
      </c>
      <c r="C113" s="70">
        <v>530813</v>
      </c>
      <c r="D113" s="172" t="s">
        <v>383</v>
      </c>
      <c r="E113" s="72" t="s">
        <v>309</v>
      </c>
      <c r="F113" s="72" t="s">
        <v>310</v>
      </c>
      <c r="G113" s="72" t="s">
        <v>172</v>
      </c>
      <c r="H113" s="76">
        <v>18750</v>
      </c>
      <c r="I113" s="77">
        <v>17160</v>
      </c>
      <c r="J113" s="77">
        <f>I113*0.12</f>
        <v>2059.1999999999998</v>
      </c>
      <c r="K113" s="73">
        <f>I113+J113</f>
        <v>19219.2</v>
      </c>
      <c r="L113" s="73">
        <f>H113-I113</f>
        <v>1590</v>
      </c>
      <c r="M113" s="89">
        <v>44431</v>
      </c>
      <c r="N113" s="70">
        <v>45</v>
      </c>
    </row>
    <row r="114" spans="1:14" s="1" customFormat="1" ht="25.5" hidden="1" x14ac:dyDescent="0.25">
      <c r="A114" s="20"/>
      <c r="B114" s="20"/>
      <c r="C114" s="21"/>
      <c r="D114" s="21"/>
      <c r="E114" s="22" t="s">
        <v>311</v>
      </c>
      <c r="F114" s="22" t="s">
        <v>312</v>
      </c>
      <c r="G114" s="22" t="s">
        <v>66</v>
      </c>
      <c r="H114" s="141" t="s">
        <v>27</v>
      </c>
      <c r="I114" s="27"/>
      <c r="J114" s="24"/>
      <c r="K114" s="24"/>
      <c r="L114" s="23"/>
      <c r="M114" s="20"/>
      <c r="N114" s="20"/>
    </row>
    <row r="115" spans="1:14" s="1" customFormat="1" ht="63.75" hidden="1" x14ac:dyDescent="0.25">
      <c r="A115" s="29"/>
      <c r="B115" s="29"/>
      <c r="C115" s="30"/>
      <c r="D115" s="30"/>
      <c r="E115" s="28" t="s">
        <v>313</v>
      </c>
      <c r="F115" s="28" t="s">
        <v>271</v>
      </c>
      <c r="G115" s="28" t="s">
        <v>104</v>
      </c>
      <c r="H115" s="121" t="s">
        <v>26</v>
      </c>
      <c r="I115" s="32"/>
      <c r="J115" s="33"/>
      <c r="K115" s="33"/>
      <c r="L115" s="31"/>
      <c r="M115" s="29"/>
      <c r="N115" s="29"/>
    </row>
    <row r="116" spans="1:14" s="1" customFormat="1" ht="63.75" hidden="1" x14ac:dyDescent="0.25">
      <c r="A116" s="29"/>
      <c r="B116" s="29"/>
      <c r="C116" s="29"/>
      <c r="D116" s="29"/>
      <c r="E116" s="28" t="s">
        <v>314</v>
      </c>
      <c r="F116" s="28" t="s">
        <v>271</v>
      </c>
      <c r="G116" s="28" t="s">
        <v>65</v>
      </c>
      <c r="H116" s="121" t="s">
        <v>26</v>
      </c>
      <c r="I116" s="32"/>
      <c r="J116" s="33"/>
      <c r="K116" s="33"/>
      <c r="L116" s="31"/>
      <c r="M116" s="29"/>
      <c r="N116" s="29"/>
    </row>
    <row r="117" spans="1:14" s="1" customFormat="1" ht="63.75" x14ac:dyDescent="0.25">
      <c r="A117" s="172" t="s">
        <v>384</v>
      </c>
      <c r="B117" s="172" t="s">
        <v>379</v>
      </c>
      <c r="C117" s="70">
        <v>530811</v>
      </c>
      <c r="D117" s="172" t="s">
        <v>380</v>
      </c>
      <c r="E117" s="72" t="s">
        <v>315</v>
      </c>
      <c r="F117" s="72" t="s">
        <v>149</v>
      </c>
      <c r="G117" s="72" t="s">
        <v>172</v>
      </c>
      <c r="H117" s="76">
        <v>85449.38</v>
      </c>
      <c r="I117" s="77">
        <v>68980</v>
      </c>
      <c r="J117" s="77">
        <f>I117*0.12</f>
        <v>8277.6</v>
      </c>
      <c r="K117" s="73">
        <f>I117+J117</f>
        <v>77257.600000000006</v>
      </c>
      <c r="L117" s="73">
        <f>H117-I117</f>
        <v>16469.380000000005</v>
      </c>
      <c r="M117" s="89">
        <v>44441</v>
      </c>
      <c r="N117" s="70">
        <v>30</v>
      </c>
    </row>
    <row r="118" spans="1:14" s="1" customFormat="1" ht="51" hidden="1" x14ac:dyDescent="0.25">
      <c r="A118" s="70"/>
      <c r="B118" s="70"/>
      <c r="C118" s="70">
        <v>530813</v>
      </c>
      <c r="D118" s="70"/>
      <c r="E118" s="72" t="s">
        <v>316</v>
      </c>
      <c r="F118" s="72" t="s">
        <v>317</v>
      </c>
      <c r="G118" s="72" t="s">
        <v>172</v>
      </c>
      <c r="H118" s="76">
        <v>21750</v>
      </c>
      <c r="I118" s="77">
        <v>21750</v>
      </c>
      <c r="J118" s="77">
        <f>I118*0.12</f>
        <v>2610</v>
      </c>
      <c r="K118" s="73">
        <f>I118+J118</f>
        <v>24360</v>
      </c>
      <c r="L118" s="73">
        <f>H118-I118</f>
        <v>0</v>
      </c>
      <c r="M118" s="89">
        <v>44432</v>
      </c>
      <c r="N118" s="70">
        <v>60</v>
      </c>
    </row>
    <row r="119" spans="1:14" s="1" customFormat="1" ht="38.25" hidden="1" x14ac:dyDescent="0.25">
      <c r="A119" s="29"/>
      <c r="B119" s="29"/>
      <c r="C119" s="29"/>
      <c r="D119" s="29"/>
      <c r="E119" s="28" t="s">
        <v>318</v>
      </c>
      <c r="F119" s="28" t="s">
        <v>319</v>
      </c>
      <c r="G119" s="28" t="s">
        <v>65</v>
      </c>
      <c r="H119" s="121">
        <v>17325.52</v>
      </c>
      <c r="I119" s="122">
        <v>17325.52</v>
      </c>
      <c r="J119" s="122">
        <f>I119*0.12</f>
        <v>2079.0623999999998</v>
      </c>
      <c r="K119" s="33">
        <f>I119+J119</f>
        <v>19404.582399999999</v>
      </c>
      <c r="L119" s="33">
        <f>H119-I119</f>
        <v>0</v>
      </c>
      <c r="M119" s="31">
        <v>44459</v>
      </c>
      <c r="N119" s="29">
        <v>60</v>
      </c>
    </row>
    <row r="120" spans="1:14" s="1" customFormat="1" ht="25.5" x14ac:dyDescent="0.25">
      <c r="A120" s="172" t="s">
        <v>385</v>
      </c>
      <c r="B120" s="172" t="s">
        <v>380</v>
      </c>
      <c r="C120" s="70">
        <v>530702</v>
      </c>
      <c r="D120" s="172" t="s">
        <v>380</v>
      </c>
      <c r="E120" s="72" t="s">
        <v>320</v>
      </c>
      <c r="F120" s="72" t="s">
        <v>321</v>
      </c>
      <c r="G120" s="72" t="s">
        <v>172</v>
      </c>
      <c r="H120" s="76">
        <v>17500</v>
      </c>
      <c r="I120" s="77">
        <v>16953</v>
      </c>
      <c r="J120" s="77">
        <f>I120*0.12</f>
        <v>2034.36</v>
      </c>
      <c r="K120" s="73">
        <f>I120+J120</f>
        <v>18987.36</v>
      </c>
      <c r="L120" s="73">
        <f>H120-I120</f>
        <v>547</v>
      </c>
      <c r="M120" s="89">
        <v>44441</v>
      </c>
      <c r="N120" s="70">
        <v>30</v>
      </c>
    </row>
    <row r="121" spans="1:14" s="1" customFormat="1" ht="25.5" x14ac:dyDescent="0.25">
      <c r="A121" s="172" t="s">
        <v>385</v>
      </c>
      <c r="B121" s="172" t="s">
        <v>380</v>
      </c>
      <c r="C121" s="70">
        <v>530105</v>
      </c>
      <c r="D121" s="172" t="s">
        <v>380</v>
      </c>
      <c r="E121" s="72" t="s">
        <v>322</v>
      </c>
      <c r="F121" s="72" t="s">
        <v>239</v>
      </c>
      <c r="G121" s="72" t="s">
        <v>172</v>
      </c>
      <c r="H121" s="76">
        <v>36497.68</v>
      </c>
      <c r="I121" s="77">
        <v>34307.82</v>
      </c>
      <c r="J121" s="77">
        <f>I121*0.12</f>
        <v>4116.9384</v>
      </c>
      <c r="K121" s="73">
        <f>I121+J121</f>
        <v>38424.758399999999</v>
      </c>
      <c r="L121" s="73">
        <f>H121-I121</f>
        <v>2189.8600000000006</v>
      </c>
      <c r="M121" s="89">
        <v>44441</v>
      </c>
      <c r="N121" s="70">
        <v>10</v>
      </c>
    </row>
    <row r="122" spans="1:14" s="1" customFormat="1" ht="25.5" hidden="1" x14ac:dyDescent="0.25">
      <c r="A122" s="29"/>
      <c r="B122" s="29"/>
      <c r="C122" s="29"/>
      <c r="D122" s="29"/>
      <c r="E122" s="28" t="s">
        <v>323</v>
      </c>
      <c r="F122" s="28" t="s">
        <v>324</v>
      </c>
      <c r="G122" s="28" t="s">
        <v>65</v>
      </c>
      <c r="H122" s="121" t="s">
        <v>26</v>
      </c>
      <c r="I122" s="32"/>
      <c r="J122" s="33"/>
      <c r="K122" s="33"/>
      <c r="L122" s="31"/>
      <c r="M122" s="29"/>
      <c r="N122" s="29"/>
    </row>
    <row r="123" spans="1:14" s="1" customFormat="1" ht="51" x14ac:dyDescent="0.25">
      <c r="A123" s="172" t="s">
        <v>385</v>
      </c>
      <c r="B123" s="172" t="s">
        <v>380</v>
      </c>
      <c r="C123" s="70">
        <v>530802</v>
      </c>
      <c r="D123" s="172" t="s">
        <v>380</v>
      </c>
      <c r="E123" s="72" t="s">
        <v>325</v>
      </c>
      <c r="F123" s="72" t="s">
        <v>326</v>
      </c>
      <c r="G123" s="72" t="s">
        <v>172</v>
      </c>
      <c r="H123" s="76">
        <v>38224</v>
      </c>
      <c r="I123" s="77">
        <v>35800</v>
      </c>
      <c r="J123" s="77">
        <f>I123*0.12</f>
        <v>4296</v>
      </c>
      <c r="K123" s="73">
        <f>I123+J123</f>
        <v>40096</v>
      </c>
      <c r="L123" s="73">
        <f>H123-I123</f>
        <v>2424</v>
      </c>
      <c r="M123" s="89">
        <v>44459</v>
      </c>
      <c r="N123" s="70">
        <v>7</v>
      </c>
    </row>
    <row r="124" spans="1:14" s="1" customFormat="1" ht="25.5" x14ac:dyDescent="0.25">
      <c r="A124" s="172" t="s">
        <v>388</v>
      </c>
      <c r="B124" s="172" t="s">
        <v>379</v>
      </c>
      <c r="C124" s="70">
        <v>530813</v>
      </c>
      <c r="D124" s="172" t="s">
        <v>380</v>
      </c>
      <c r="E124" s="72" t="s">
        <v>327</v>
      </c>
      <c r="F124" s="72" t="s">
        <v>328</v>
      </c>
      <c r="G124" s="72" t="s">
        <v>172</v>
      </c>
      <c r="H124" s="76">
        <v>9700</v>
      </c>
      <c r="I124" s="77">
        <v>8315</v>
      </c>
      <c r="J124" s="77">
        <f>I124*0.12</f>
        <v>997.8</v>
      </c>
      <c r="K124" s="73">
        <f>I124+J124</f>
        <v>9312.7999999999993</v>
      </c>
      <c r="L124" s="73">
        <f>H124-I124</f>
        <v>1385</v>
      </c>
      <c r="M124" s="89">
        <v>44459</v>
      </c>
      <c r="N124" s="70">
        <v>15</v>
      </c>
    </row>
    <row r="125" spans="1:14" s="1" customFormat="1" ht="38.25" hidden="1" x14ac:dyDescent="0.25">
      <c r="A125" s="81"/>
      <c r="B125" s="81"/>
      <c r="C125" s="81"/>
      <c r="D125" s="81"/>
      <c r="E125" s="83" t="s">
        <v>329</v>
      </c>
      <c r="F125" s="83" t="s">
        <v>330</v>
      </c>
      <c r="G125" s="83" t="s">
        <v>66</v>
      </c>
      <c r="H125" s="150" t="s">
        <v>27</v>
      </c>
      <c r="I125" s="85"/>
      <c r="J125" s="86"/>
      <c r="K125" s="86"/>
      <c r="L125" s="84"/>
      <c r="M125" s="81"/>
      <c r="N125" s="81"/>
    </row>
    <row r="126" spans="1:14" s="1" customFormat="1" ht="25.5" x14ac:dyDescent="0.25">
      <c r="A126" s="172" t="s">
        <v>384</v>
      </c>
      <c r="B126" s="172" t="s">
        <v>379</v>
      </c>
      <c r="C126" s="70">
        <v>530417</v>
      </c>
      <c r="D126" s="172" t="s">
        <v>380</v>
      </c>
      <c r="E126" s="72" t="s">
        <v>331</v>
      </c>
      <c r="F126" s="72" t="s">
        <v>332</v>
      </c>
      <c r="G126" s="72" t="s">
        <v>172</v>
      </c>
      <c r="H126" s="76">
        <v>10568.97</v>
      </c>
      <c r="I126" s="77">
        <v>9934.83</v>
      </c>
      <c r="J126" s="77">
        <f>I126*0.12</f>
        <v>1192.1795999999999</v>
      </c>
      <c r="K126" s="73">
        <f>I126+J126</f>
        <v>11127.009599999999</v>
      </c>
      <c r="L126" s="73">
        <f>H126-I126</f>
        <v>634.13999999999942</v>
      </c>
      <c r="M126" s="89">
        <v>44461</v>
      </c>
      <c r="N126" s="70">
        <v>30</v>
      </c>
    </row>
    <row r="127" spans="1:14" s="1" customFormat="1" ht="25.5" x14ac:dyDescent="0.25">
      <c r="A127" s="172" t="s">
        <v>381</v>
      </c>
      <c r="B127" s="172" t="s">
        <v>382</v>
      </c>
      <c r="C127" s="70">
        <v>530410</v>
      </c>
      <c r="D127" s="172" t="s">
        <v>383</v>
      </c>
      <c r="E127" s="72" t="s">
        <v>333</v>
      </c>
      <c r="F127" s="72" t="s">
        <v>334</v>
      </c>
      <c r="G127" s="72" t="s">
        <v>172</v>
      </c>
      <c r="H127" s="76">
        <v>14247.76</v>
      </c>
      <c r="I127" s="77">
        <v>13392.89</v>
      </c>
      <c r="J127" s="77">
        <f>I127*0.12</f>
        <v>1607.1467999999998</v>
      </c>
      <c r="K127" s="73">
        <f>I127+J127</f>
        <v>15000.0368</v>
      </c>
      <c r="L127" s="73">
        <f>H127-I127</f>
        <v>854.8700000000008</v>
      </c>
      <c r="M127" s="89">
        <v>44462</v>
      </c>
      <c r="N127" s="70">
        <v>25</v>
      </c>
    </row>
    <row r="128" spans="1:14" s="1" customFormat="1" hidden="1" x14ac:dyDescent="0.25">
      <c r="A128" s="20"/>
      <c r="B128" s="20"/>
      <c r="C128" s="20"/>
      <c r="D128" s="20"/>
      <c r="E128" s="22" t="s">
        <v>335</v>
      </c>
      <c r="F128" s="22" t="s">
        <v>336</v>
      </c>
      <c r="G128" s="22" t="s">
        <v>66</v>
      </c>
      <c r="H128" s="141" t="s">
        <v>27</v>
      </c>
      <c r="I128" s="27"/>
      <c r="J128" s="24"/>
      <c r="K128" s="24"/>
      <c r="L128" s="23"/>
      <c r="M128" s="20"/>
      <c r="N128" s="20"/>
    </row>
    <row r="129" spans="1:14" s="1" customFormat="1" ht="38.25" hidden="1" x14ac:dyDescent="0.25">
      <c r="A129" s="29"/>
      <c r="B129" s="29"/>
      <c r="C129" s="29"/>
      <c r="D129" s="29"/>
      <c r="E129" s="28" t="s">
        <v>337</v>
      </c>
      <c r="F129" s="28" t="s">
        <v>338</v>
      </c>
      <c r="G129" s="28" t="s">
        <v>65</v>
      </c>
      <c r="H129" s="121" t="s">
        <v>26</v>
      </c>
      <c r="I129" s="32"/>
      <c r="J129" s="33"/>
      <c r="K129" s="33"/>
      <c r="L129" s="31"/>
      <c r="M129" s="29"/>
      <c r="N129" s="29"/>
    </row>
    <row r="130" spans="1:14" s="1" customFormat="1" ht="25.5" x14ac:dyDescent="0.25">
      <c r="A130" s="172" t="s">
        <v>385</v>
      </c>
      <c r="B130" s="172" t="s">
        <v>380</v>
      </c>
      <c r="C130" s="70">
        <v>530403</v>
      </c>
      <c r="D130" s="172" t="s">
        <v>380</v>
      </c>
      <c r="E130" s="72" t="s">
        <v>339</v>
      </c>
      <c r="F130" s="72" t="s">
        <v>340</v>
      </c>
      <c r="G130" s="72" t="s">
        <v>119</v>
      </c>
      <c r="H130" s="76">
        <v>11457.14</v>
      </c>
      <c r="I130" s="77">
        <v>9975</v>
      </c>
      <c r="J130" s="77">
        <f>I130*0.12</f>
        <v>1197</v>
      </c>
      <c r="K130" s="73">
        <f>I130+J130</f>
        <v>11172</v>
      </c>
      <c r="L130" s="73">
        <f>H130-I130</f>
        <v>1482.1399999999994</v>
      </c>
      <c r="M130" s="89">
        <v>44489</v>
      </c>
      <c r="N130" s="70">
        <v>60</v>
      </c>
    </row>
    <row r="131" spans="1:14" s="1" customFormat="1" ht="25.5" x14ac:dyDescent="0.25">
      <c r="A131" s="172" t="s">
        <v>384</v>
      </c>
      <c r="B131" s="172" t="s">
        <v>379</v>
      </c>
      <c r="C131" s="70">
        <v>530410</v>
      </c>
      <c r="D131" s="172" t="s">
        <v>380</v>
      </c>
      <c r="E131" s="72" t="s">
        <v>341</v>
      </c>
      <c r="F131" s="72" t="s">
        <v>342</v>
      </c>
      <c r="G131" s="72" t="s">
        <v>172</v>
      </c>
      <c r="H131" s="76">
        <v>15178.57</v>
      </c>
      <c r="I131" s="77">
        <v>14267.86</v>
      </c>
      <c r="J131" s="77">
        <f>I131*0.12</f>
        <v>1712.1432</v>
      </c>
      <c r="K131" s="73">
        <f>I131+J131</f>
        <v>15980.003200000001</v>
      </c>
      <c r="L131" s="73">
        <f>H131-I131</f>
        <v>910.70999999999913</v>
      </c>
      <c r="M131" s="89">
        <v>44468</v>
      </c>
      <c r="N131" s="70">
        <v>45</v>
      </c>
    </row>
    <row r="132" spans="1:14" s="1" customFormat="1" ht="38.25" x14ac:dyDescent="0.25">
      <c r="A132" s="172" t="s">
        <v>385</v>
      </c>
      <c r="B132" s="172" t="s">
        <v>380</v>
      </c>
      <c r="C132" s="70">
        <v>570201</v>
      </c>
      <c r="D132" s="172" t="s">
        <v>380</v>
      </c>
      <c r="E132" s="72" t="s">
        <v>343</v>
      </c>
      <c r="F132" s="72" t="s">
        <v>228</v>
      </c>
      <c r="G132" s="72" t="s">
        <v>119</v>
      </c>
      <c r="H132" s="76">
        <v>23713.02</v>
      </c>
      <c r="I132" s="77">
        <v>17946.939999999999</v>
      </c>
      <c r="J132" s="77">
        <f>I132*0.12</f>
        <v>2153.6327999999999</v>
      </c>
      <c r="K132" s="73">
        <f>I132+J132</f>
        <v>20100.572799999998</v>
      </c>
      <c r="L132" s="73">
        <f>H132-I132</f>
        <v>5766.0800000000017</v>
      </c>
      <c r="M132" s="89">
        <v>44489</v>
      </c>
      <c r="N132" s="70">
        <v>180</v>
      </c>
    </row>
    <row r="133" spans="1:14" s="1" customFormat="1" ht="38.25" hidden="1" x14ac:dyDescent="0.25">
      <c r="A133" s="70"/>
      <c r="B133" s="70"/>
      <c r="C133" s="70">
        <v>530410</v>
      </c>
      <c r="D133" s="70"/>
      <c r="E133" s="72" t="s">
        <v>344</v>
      </c>
      <c r="F133" s="72" t="s">
        <v>345</v>
      </c>
      <c r="G133" s="72" t="s">
        <v>119</v>
      </c>
      <c r="H133" s="76">
        <v>34400</v>
      </c>
      <c r="I133" s="77">
        <v>34400</v>
      </c>
      <c r="J133" s="77">
        <f>I133*0.12</f>
        <v>4128</v>
      </c>
      <c r="K133" s="73">
        <f>I133+J133</f>
        <v>38528</v>
      </c>
      <c r="L133" s="73">
        <f>H133-I133</f>
        <v>0</v>
      </c>
      <c r="M133" s="89">
        <v>44475</v>
      </c>
      <c r="N133" s="70">
        <v>62</v>
      </c>
    </row>
    <row r="134" spans="1:14" s="1" customFormat="1" ht="38.25" hidden="1" x14ac:dyDescent="0.25">
      <c r="A134" s="29"/>
      <c r="B134" s="29"/>
      <c r="C134" s="30"/>
      <c r="D134" s="30"/>
      <c r="E134" s="28" t="s">
        <v>346</v>
      </c>
      <c r="F134" s="28" t="s">
        <v>347</v>
      </c>
      <c r="G134" s="28" t="s">
        <v>65</v>
      </c>
      <c r="H134" s="121" t="s">
        <v>348</v>
      </c>
      <c r="I134" s="32"/>
      <c r="J134" s="33"/>
      <c r="K134" s="33"/>
      <c r="L134" s="31"/>
      <c r="M134" s="29"/>
      <c r="N134" s="29"/>
    </row>
    <row r="135" spans="1:14" s="1" customFormat="1" ht="38.25" x14ac:dyDescent="0.25">
      <c r="A135" s="172" t="s">
        <v>384</v>
      </c>
      <c r="B135" s="172" t="s">
        <v>379</v>
      </c>
      <c r="C135" s="70">
        <v>530410</v>
      </c>
      <c r="D135" s="172" t="s">
        <v>389</v>
      </c>
      <c r="E135" s="72" t="s">
        <v>350</v>
      </c>
      <c r="F135" s="72" t="s">
        <v>338</v>
      </c>
      <c r="G135" s="72" t="s">
        <v>119</v>
      </c>
      <c r="H135" s="76">
        <v>45978.25</v>
      </c>
      <c r="I135" s="77">
        <v>43219.56</v>
      </c>
      <c r="J135" s="77">
        <f>I135*0.12</f>
        <v>5186.3471999999992</v>
      </c>
      <c r="K135" s="73">
        <f>I135+J135</f>
        <v>48405.907199999994</v>
      </c>
      <c r="L135" s="73">
        <f>H135-I135</f>
        <v>2758.6900000000023</v>
      </c>
      <c r="M135" s="89">
        <v>44484</v>
      </c>
      <c r="N135" s="70">
        <v>45</v>
      </c>
    </row>
    <row r="136" spans="1:14" s="1" customFormat="1" ht="63.75" hidden="1" x14ac:dyDescent="0.25">
      <c r="A136" s="29"/>
      <c r="B136" s="29"/>
      <c r="C136" s="29"/>
      <c r="D136" s="29"/>
      <c r="E136" s="28" t="s">
        <v>351</v>
      </c>
      <c r="F136" s="28" t="s">
        <v>352</v>
      </c>
      <c r="G136" s="28" t="s">
        <v>65</v>
      </c>
      <c r="H136" s="121">
        <v>14293.32</v>
      </c>
      <c r="I136" s="122">
        <v>11000</v>
      </c>
      <c r="J136" s="122">
        <f>I136*0.12</f>
        <v>1320</v>
      </c>
      <c r="K136" s="33">
        <f>I136+J136</f>
        <v>12320</v>
      </c>
      <c r="L136" s="33"/>
      <c r="M136" s="31">
        <v>44484</v>
      </c>
      <c r="N136" s="29">
        <v>90</v>
      </c>
    </row>
    <row r="137" spans="1:14" s="1" customFormat="1" ht="51" x14ac:dyDescent="0.25">
      <c r="A137" s="172" t="s">
        <v>380</v>
      </c>
      <c r="B137" s="172" t="s">
        <v>380</v>
      </c>
      <c r="C137" s="70">
        <v>530405</v>
      </c>
      <c r="D137" s="172" t="s">
        <v>380</v>
      </c>
      <c r="E137" s="72" t="s">
        <v>353</v>
      </c>
      <c r="F137" s="72" t="s">
        <v>354</v>
      </c>
      <c r="G137" s="72" t="s">
        <v>119</v>
      </c>
      <c r="H137" s="76">
        <v>25714.16</v>
      </c>
      <c r="I137" s="77">
        <v>17900</v>
      </c>
      <c r="J137" s="77">
        <f>I137*0.12</f>
        <v>2148</v>
      </c>
      <c r="K137" s="73">
        <f>I137+J137</f>
        <v>20048</v>
      </c>
      <c r="L137" s="73">
        <f>H137-I137</f>
        <v>7814.16</v>
      </c>
      <c r="M137" s="89">
        <v>44484</v>
      </c>
      <c r="N137" s="70">
        <v>45</v>
      </c>
    </row>
    <row r="138" spans="1:14" s="1" customFormat="1" ht="25.5" hidden="1" x14ac:dyDescent="0.25">
      <c r="A138" s="20"/>
      <c r="B138" s="20"/>
      <c r="C138" s="21"/>
      <c r="D138" s="21"/>
      <c r="E138" s="22" t="s">
        <v>355</v>
      </c>
      <c r="F138" s="22" t="s">
        <v>356</v>
      </c>
      <c r="G138" s="22" t="s">
        <v>66</v>
      </c>
      <c r="H138" s="141" t="s">
        <v>27</v>
      </c>
      <c r="I138" s="27"/>
      <c r="J138" s="24"/>
      <c r="K138" s="24"/>
      <c r="L138" s="23"/>
      <c r="M138" s="20"/>
      <c r="N138" s="20"/>
    </row>
    <row r="139" spans="1:14" s="1" customFormat="1" ht="25.5" hidden="1" x14ac:dyDescent="0.25">
      <c r="A139" s="29"/>
      <c r="B139" s="29"/>
      <c r="C139" s="30"/>
      <c r="D139" s="30"/>
      <c r="E139" s="28" t="s">
        <v>358</v>
      </c>
      <c r="F139" s="28" t="s">
        <v>359</v>
      </c>
      <c r="G139" s="28" t="s">
        <v>65</v>
      </c>
      <c r="H139" s="121" t="s">
        <v>26</v>
      </c>
      <c r="I139" s="32"/>
      <c r="J139" s="33"/>
      <c r="K139" s="33"/>
      <c r="L139" s="31"/>
      <c r="M139" s="29"/>
      <c r="N139" s="29"/>
    </row>
    <row r="140" spans="1:14" s="1" customFormat="1" ht="38.25" hidden="1" x14ac:dyDescent="0.25">
      <c r="A140" s="14"/>
      <c r="B140" s="14"/>
      <c r="C140" s="15"/>
      <c r="D140" s="15"/>
      <c r="E140" s="16" t="s">
        <v>360</v>
      </c>
      <c r="F140" s="16" t="s">
        <v>347</v>
      </c>
      <c r="G140" s="28" t="s">
        <v>357</v>
      </c>
      <c r="H140" s="139" t="s">
        <v>348</v>
      </c>
      <c r="I140" s="18"/>
      <c r="J140" s="19"/>
      <c r="K140" s="19"/>
      <c r="L140" s="17"/>
      <c r="M140" s="14"/>
      <c r="N140" s="14"/>
    </row>
    <row r="141" spans="1:14" s="1" customFormat="1" ht="38.25" hidden="1" x14ac:dyDescent="0.25">
      <c r="A141" s="70"/>
      <c r="B141" s="70"/>
      <c r="C141" s="70">
        <v>530803</v>
      </c>
      <c r="D141" s="70"/>
      <c r="E141" s="72" t="s">
        <v>361</v>
      </c>
      <c r="F141" s="72" t="s">
        <v>362</v>
      </c>
      <c r="G141" s="72" t="s">
        <v>119</v>
      </c>
      <c r="H141" s="76">
        <v>23490.39</v>
      </c>
      <c r="I141" s="77">
        <v>23490.39</v>
      </c>
      <c r="J141" s="77">
        <f>I141*0.12</f>
        <v>2818.8467999999998</v>
      </c>
      <c r="K141" s="73">
        <f>I141+J141</f>
        <v>26309.236799999999</v>
      </c>
      <c r="L141" s="73">
        <f>H141-I141</f>
        <v>0</v>
      </c>
      <c r="M141" s="89">
        <v>44489</v>
      </c>
      <c r="N141" s="70">
        <v>10</v>
      </c>
    </row>
    <row r="142" spans="1:14" s="1" customFormat="1" ht="25.5" hidden="1" x14ac:dyDescent="0.25">
      <c r="A142" s="70"/>
      <c r="B142" s="70"/>
      <c r="C142" s="70">
        <v>530803</v>
      </c>
      <c r="D142" s="70"/>
      <c r="E142" s="72" t="s">
        <v>363</v>
      </c>
      <c r="F142" s="72" t="s">
        <v>43</v>
      </c>
      <c r="G142" s="72" t="s">
        <v>119</v>
      </c>
      <c r="H142" s="76">
        <v>22961.01</v>
      </c>
      <c r="I142" s="77">
        <v>22961.01</v>
      </c>
      <c r="J142" s="77">
        <f>I142*0.12</f>
        <v>2755.3211999999999</v>
      </c>
      <c r="K142" s="73">
        <f>I142+J142</f>
        <v>25716.331199999997</v>
      </c>
      <c r="L142" s="73">
        <f>H142-I142</f>
        <v>0</v>
      </c>
      <c r="M142" s="89">
        <v>44489</v>
      </c>
      <c r="N142" s="70">
        <v>30</v>
      </c>
    </row>
    <row r="143" spans="1:14" s="1" customFormat="1" ht="25.5" hidden="1" x14ac:dyDescent="0.25">
      <c r="A143" s="14"/>
      <c r="B143" s="14"/>
      <c r="C143" s="15"/>
      <c r="D143" s="15"/>
      <c r="E143" s="16" t="s">
        <v>364</v>
      </c>
      <c r="F143" s="16" t="s">
        <v>365</v>
      </c>
      <c r="G143" s="16" t="s">
        <v>357</v>
      </c>
      <c r="H143" s="139" t="s">
        <v>26</v>
      </c>
      <c r="I143" s="18"/>
      <c r="J143" s="19"/>
      <c r="K143" s="19"/>
      <c r="L143" s="17"/>
      <c r="M143" s="14"/>
      <c r="N143" s="14"/>
    </row>
    <row r="144" spans="1:14" s="1" customFormat="1" ht="38.25" hidden="1" x14ac:dyDescent="0.25">
      <c r="A144" s="14"/>
      <c r="B144" s="14"/>
      <c r="C144" s="15"/>
      <c r="D144" s="15"/>
      <c r="E144" s="16" t="s">
        <v>366</v>
      </c>
      <c r="F144" s="16" t="s">
        <v>367</v>
      </c>
      <c r="G144" s="16" t="s">
        <v>357</v>
      </c>
      <c r="H144" s="139" t="s">
        <v>26</v>
      </c>
      <c r="I144" s="18"/>
      <c r="J144" s="19"/>
      <c r="K144" s="19"/>
      <c r="L144" s="17"/>
      <c r="M144" s="14"/>
      <c r="N144" s="14"/>
    </row>
    <row r="145" spans="1:14" s="1" customFormat="1" ht="38.25" hidden="1" x14ac:dyDescent="0.25">
      <c r="A145" s="14"/>
      <c r="B145" s="14"/>
      <c r="C145" s="15"/>
      <c r="D145" s="15"/>
      <c r="E145" s="16" t="s">
        <v>368</v>
      </c>
      <c r="F145" s="16" t="s">
        <v>369</v>
      </c>
      <c r="G145" s="16" t="s">
        <v>357</v>
      </c>
      <c r="H145" s="139" t="s">
        <v>26</v>
      </c>
      <c r="I145" s="18"/>
      <c r="J145" s="19"/>
      <c r="K145" s="19"/>
      <c r="L145" s="17"/>
      <c r="M145" s="14"/>
      <c r="N145" s="14"/>
    </row>
    <row r="146" spans="1:14" s="1" customFormat="1" ht="63.75" hidden="1" x14ac:dyDescent="0.25">
      <c r="A146" s="14"/>
      <c r="B146" s="14"/>
      <c r="C146" s="15"/>
      <c r="D146" s="15"/>
      <c r="E146" s="16" t="s">
        <v>370</v>
      </c>
      <c r="F146" s="16" t="s">
        <v>371</v>
      </c>
      <c r="G146" s="16" t="s">
        <v>374</v>
      </c>
      <c r="H146" s="139" t="s">
        <v>26</v>
      </c>
      <c r="I146" s="18"/>
      <c r="J146" s="19"/>
      <c r="K146" s="19"/>
      <c r="L146" s="17"/>
      <c r="M146" s="14"/>
      <c r="N146" s="14"/>
    </row>
    <row r="147" spans="1:14" s="1" customFormat="1" ht="38.25" hidden="1" x14ac:dyDescent="0.25">
      <c r="A147" s="14"/>
      <c r="B147" s="14"/>
      <c r="C147" s="15"/>
      <c r="D147" s="15"/>
      <c r="E147" s="16" t="s">
        <v>372</v>
      </c>
      <c r="F147" s="16" t="s">
        <v>373</v>
      </c>
      <c r="G147" s="16" t="s">
        <v>374</v>
      </c>
      <c r="H147" s="139" t="s">
        <v>26</v>
      </c>
      <c r="I147" s="18"/>
      <c r="J147" s="19"/>
      <c r="K147" s="19"/>
      <c r="L147" s="17"/>
      <c r="M147" s="14"/>
      <c r="N147" s="14"/>
    </row>
    <row r="148" spans="1:14" s="1" customFormat="1" x14ac:dyDescent="0.25">
      <c r="A148" s="173"/>
      <c r="B148" s="173"/>
      <c r="C148" s="153"/>
      <c r="D148" s="176"/>
      <c r="E148" s="154"/>
      <c r="F148" s="154"/>
      <c r="G148" s="154"/>
      <c r="H148" s="155"/>
      <c r="I148" s="156"/>
      <c r="J148" s="157"/>
      <c r="K148" s="157"/>
      <c r="L148" s="158"/>
      <c r="M148" s="152"/>
      <c r="N148" s="152"/>
    </row>
  </sheetData>
  <autoFilter ref="A1:N147">
    <filterColumn colId="11">
      <filters>
        <filter val="$ 1.001,43"/>
        <filter val="$ 1.012,76"/>
        <filter val="$ 1.123,00"/>
        <filter val="$ 1.157,11"/>
        <filter val="$ 1.290,00"/>
        <filter val="$ 1.385,00"/>
        <filter val="$ 1.472,43"/>
        <filter val="$ 1.482,14"/>
        <filter val="$ 1.550,67"/>
        <filter val="$ 1.590,00"/>
        <filter val="$ 1.705,11"/>
        <filter val="$ 1.714,58"/>
        <filter val="$ 1.855,00"/>
        <filter val="$ 1.946,00"/>
        <filter val="$ 10.900,00"/>
        <filter val="$ 11.425,45"/>
        <filter val="$ 11.450,40"/>
        <filter val="$ 16.469,38"/>
        <filter val="$ 2.061,47"/>
        <filter val="$ 2.189,86"/>
        <filter val="$ 2.390,49"/>
        <filter val="$ 2.424,00"/>
        <filter val="$ 2.518,68"/>
        <filter val="$ 2.758,69"/>
        <filter val="$ 2.956,00"/>
        <filter val="$ 3,00"/>
        <filter val="$ 3.241,17"/>
        <filter val="$ 3.921,43"/>
        <filter val="$ 4.409,00"/>
        <filter val="$ 416,60"/>
        <filter val="$ 5.017,86"/>
        <filter val="$ 5.766,08"/>
        <filter val="$ 541,40"/>
        <filter val="$ 547,00"/>
        <filter val="$ 57,14"/>
        <filter val="$ 6.064,29"/>
        <filter val="$ 6.120,00"/>
        <filter val="$ 6.517,14"/>
        <filter val="$ 622,40"/>
        <filter val="$ 634,14"/>
        <filter val="$ 7.814,16"/>
        <filter val="$ 713,71"/>
        <filter val="$ 750,05"/>
        <filter val="$ 78.905,33"/>
        <filter val="$ 8.500,00"/>
        <filter val="$ 801,00"/>
        <filter val="$ 85,71"/>
        <filter val="$ 854,87"/>
        <filter val="$ 863,00"/>
        <filter val="$ 910,71"/>
        <filter val="$ 926,08"/>
      </filters>
    </filterColumn>
  </autoFilter>
  <hyperlinks>
    <hyperlink ref="E2" r:id="rId1" display="https://www.compraspublicas.gob.ec/ProcesoContratacion/compras/PC/informacionProcesoContratacion2.cpe?idSoliCompra=CXUVupnGmV-ikitPrsh9GxNhubTfOkMvbhBKEMk89xI,"/>
    <hyperlink ref="E3" r:id="rId2" display="https://www.compraspublicas.gob.ec/ProcesoContratacion/compras/PC/informacionProcesoContratacion2.cpe?idSoliCompra=IppDB88wi1Uqr-33WPtbPIzHFmRSfDSbkUnQP40s9J8,"/>
    <hyperlink ref="E4" r:id="rId3" display="https://www.compraspublicas.gob.ec/ProcesoContratacion/compras/SC/sci.cpe?idSoliCompra=zcP-kLqJe_7vs2SPEdFjwBE1zrBmZJMO9Jnre-vluPM,"/>
    <hyperlink ref="E5" r:id="rId4" display="https://www.compraspublicas.gob.ec/ProcesoContratacion/compras/PC/informacionProcesoContratacion2.cpe?idSoliCompra=s4xw8WnUrmIFftauVCa_W1oQFY2C7JBs2pbgN9TRT40,"/>
    <hyperlink ref="E6" r:id="rId5" display="https://www.compraspublicas.gob.ec/ProcesoContratacion/compras/PC/informacionProcesoContratacion2.cpe?idSoliCompra=VUyIURO-IgwJyfMFvRgSMHpyPzCalyZkXQwB6RtEr0Y,"/>
    <hyperlink ref="E7" r:id="rId6" display="https://www.compraspublicas.gob.ec/ProcesoContratacion/compras/PC/informacionProcesoContratacion2.cpe?idSoliCompra=BMxNh9GvstZnKGr9-skAUHxgxsslq6ferPJRJSo2hzY,"/>
    <hyperlink ref="E8" r:id="rId7" display="https://www.compraspublicas.gob.ec/ProcesoContratacion/compras/PC/informacionProcesoContratacion2.cpe?idSoliCompra=ss-cQ8rP9EP8RZAl3Gi53oR2EUcx6JFheOyi_aDuhGM,"/>
    <hyperlink ref="E9" r:id="rId8" display="https://www.compraspublicas.gob.ec/ProcesoContratacion/compras/PC/informacionProcesoContratacion2.cpe?idSoliCompra=reeidzJ-U2dxcXRIwr7dBMrszVYvSJZka9GvMgnKehI,"/>
    <hyperlink ref="E10" r:id="rId9" display="https://www.compraspublicas.gob.ec/ProcesoContratacion/compras/PC/informacionProcesoContratacion2.cpe?idSoliCompra=C-uLBoUryfBu5qLTP_Ohgom5Rwg5VUHu53zF22ZBdgc,"/>
    <hyperlink ref="E11" r:id="rId10" display="https://www.compraspublicas.gob.ec/ProcesoContratacion/compras/PC/informacionProcesoContratacion2.cpe?idSoliCompra=vS1CCNZLlliNWKyJEHe56jc0L3AfNhmlC4Xgyb1k31c,"/>
    <hyperlink ref="E12" r:id="rId11" display="https://www.compraspublicas.gob.ec/ProcesoContratacion/compras/PC/informacionProcesoContratacion2.cpe?idSoliCompra=oXlWtexDSUvIQAHfqPkVzycykxJL3R-el-Ptw81-dYw,"/>
    <hyperlink ref="E13" r:id="rId12" display="https://www.compraspublicas.gob.ec/ProcesoContratacion/compras/PC/informacionProcesoContratacion2.cpe?idSoliCompra=TGoKUXDaK5c9tVdSOHNZUySL8KF119f7qerjZmwU5eg,"/>
    <hyperlink ref="E14" r:id="rId13" display="https://www.compraspublicas.gob.ec/ProcesoContratacion/compras/PC/informacionProcesoContratacion2.cpe?idSoliCompra=zDGE585FXMAl4FvI4gcpyo7ky8XSEadG0Zh4e7jkpzM,"/>
    <hyperlink ref="E15" r:id="rId14" display="https://www.compraspublicas.gob.ec/ProcesoContratacion/compras/SC/sci.cpe?idSoliCompra=tv42n6ID64BBGo4c7quNElIH4-bMb3FM5K1Q7iyqT50,"/>
    <hyperlink ref="E16" r:id="rId15" display="https://www.compraspublicas.gob.ec/ProcesoContratacion/compras/PC/informacionProcesoContratacion2.cpe?idSoliCompra=J1x0UXfWvUYqa6jDiaa7SELZd-zjYs4u0J7QFSk2e9E,"/>
    <hyperlink ref="E17" r:id="rId16" display="https://www.compraspublicas.gob.ec/ProcesoContratacion/compras/PC/informacionProcesoContratacion2.cpe?idSoliCompra=Zn1rke-lui9IcJIBw-IEt5hbVY5zdJH6UlInUPKL_ys,"/>
    <hyperlink ref="E18" r:id="rId17" display="https://www.compraspublicas.gob.ec/ProcesoContratacion/compras/PC/informacionProcesoContratacion2.cpe?idSoliCompra=kmFG2YsDG3EdOfsaO8u2fWJI9PfykONsSVcDe2jFg2g,"/>
    <hyperlink ref="E19" r:id="rId18" display="https://www.compraspublicas.gob.ec/ProcesoContratacion/compras/PC/informacionProcesoContratacion2.cpe?idSoliCompra=JXx3phX4O4IJlMfYTFZFS5zQ4ipsQeqibN1RohX4p7o,"/>
    <hyperlink ref="E20" r:id="rId19" display="https://www.compraspublicas.gob.ec/ProcesoContratacion/compras/PC/informacionProcesoContratacion2.cpe?idSoliCompra=sYg_dsgMhteTawKmfxHh-LhZnDQerOnSlFbnGqARzH0,"/>
    <hyperlink ref="E21" r:id="rId20" display="https://www.compraspublicas.gob.ec/ProcesoContratacion/compras/PC/informacionProcesoContratacion2.cpe?idSoliCompra=7h-D9H89-hvWHDVer3Z2ryxE1I7BrauflVa4GKorz5M,"/>
    <hyperlink ref="E22" r:id="rId21" display="https://www.compraspublicas.gob.ec/ProcesoContratacion/compras/SC/sci.cpe?idSoliCompra=1jufy5vH9P511np0sXUFm-uuDccObZ4E05y5ZksIKT8,"/>
    <hyperlink ref="E23" r:id="rId22" display="https://www.compraspublicas.gob.ec/ProcesoContratacion/compras/PC/informacionProcesoContratacion2.cpe?idSoliCompra=hqmV6mOcOmzmJQUJAt69K6CROnT0LdUd_nt9JWDxR3g,"/>
    <hyperlink ref="E24" r:id="rId23" display="https://www.compraspublicas.gob.ec/ProcesoContratacion/compras/SC/sci.cpe?idSoliCompra=Galy7dE3TgaahRCbEDkgm9e1gxDP7Y_aIWlxDmGR0V4,"/>
    <hyperlink ref="E25" r:id="rId24" display="https://www.compraspublicas.gob.ec/ProcesoContratacion/compras/PC/informacionProcesoContratacion2.cpe?idSoliCompra=l-K1AI7HebX2ZlCcsKc7neJyVtc9-jauseXw6a3NpXA,"/>
    <hyperlink ref="E26" r:id="rId25" display="https://www.compraspublicas.gob.ec/ProcesoContratacion/compras/SC/sci.cpe?idSoliCompra=ZEXh-UOe9tS9N3fCa09fWEaVsGQTaDCHwD0xc_eQrbg,"/>
    <hyperlink ref="E27" r:id="rId26" display="https://www.compraspublicas.gob.ec/ProcesoContratacion/compras/PC/informacionProcesoContratacion2.cpe?idSoliCompra=LcGI1Ouhh0vlQFb3z00pRP9yxqMfYBHDkfKzPCSxqVs,"/>
    <hyperlink ref="E28" r:id="rId27" display="https://www.compraspublicas.gob.ec/ProcesoContratacion/compras/PC/informacionProcesoContratacion2.cpe?idSoliCompra=MSjp68OkCchgatGKq5kS53G2O-YyN5HT899rTNihGFk,"/>
    <hyperlink ref="E29" r:id="rId28" display="https://www.compraspublicas.gob.ec/ProcesoContratacion/compras/PC/informacionProcesoContratacion2.cpe?idSoliCompra=gbarIw9kSUBtN_xxVJXHPY-ppMMlV0j-DABosZGlIxI,"/>
    <hyperlink ref="E30" r:id="rId29" display="https://www.compraspublicas.gob.ec/ProcesoContratacion/compras/PC/informacionProcesoContratacion2.cpe?idSoliCompra=8Fy_LPQwL8sZ7t-I-qU2i-ccXgV_qAzCGueqWIP9WyI,"/>
    <hyperlink ref="E31" r:id="rId30" display="https://www.compraspublicas.gob.ec/ProcesoContratacion/compras/PC/informacionProcesoContratacion2.cpe?idSoliCompra=lWCOCo6r3thKbM4NCCkZ5N1dcRr1oXvpgm6bCFlIxAI,"/>
    <hyperlink ref="E32" r:id="rId31" display="https://www.compraspublicas.gob.ec/ProcesoContratacion/compras/PC/informacionProcesoContratacion2.cpe?idSoliCompra=Pc4GV9yol7CyZ4DmTpAHxGmpFgfsBg_4FVK99TW6igM,"/>
    <hyperlink ref="E33" r:id="rId32" display="https://www.compraspublicas.gob.ec/ProcesoContratacion/compras/PC/informacionProcesoContratacion2.cpe?idSoliCompra=--idZMzShK1NeQNxj5ycRnAidCsvPdw4FazZMhEt2lw,"/>
    <hyperlink ref="E34" r:id="rId33" display="https://www.compraspublicas.gob.ec/ProcesoContratacion/compras/PC/informacionProcesoContratacion2.cpe?idSoliCompra=kzc7TUhVsDevUEdHa-rkqGmXSS_QYXTu_csPR89aoYo,"/>
    <hyperlink ref="E35" r:id="rId34" display="https://www.compraspublicas.gob.ec/ProcesoContratacion/compras/PC/informacionProcesoContratacion2.cpe?idSoliCompra=hARvq284byLvGnC3aSBwIm1Y5n5hPz3Ys7qXb38W7sE,"/>
    <hyperlink ref="E36" r:id="rId35" display="https://www.compraspublicas.gob.ec/ProcesoContratacion/compras/PC/informacionProcesoContratacion2.cpe?idSoliCompra=cUgCB-9tDbqMmcG2rR5O5dcQoMTFgSEENSCT7zTzBXg,"/>
    <hyperlink ref="E37" r:id="rId36" display="https://www.compraspublicas.gob.ec/ProcesoContratacion/compras/PC/informacionProcesoContratacion2.cpe?idSoliCompra=Xbg1jvmFjXrFiXjUi6kX14OXPTz25A94puZ2rfQuNZQ,"/>
    <hyperlink ref="E38" r:id="rId37" display="https://www.compraspublicas.gob.ec/ProcesoContratacion/compras/PC/informacionProcesoContratacion2.cpe?idSoliCompra=4DZu6Hv1a7F0G0KZFKhGuEjrfYriPnqWoxqVAwAg5hk,"/>
    <hyperlink ref="E39" r:id="rId38" display="https://www.compraspublicas.gob.ec/ProcesoContratacion/compras/PC/informacionProcesoContratacion2.cpe?idSoliCompra=mlhQQygCO6LXo2DOA5sGVG6TIfTEyeV4QMYZgsYj-TA,"/>
    <hyperlink ref="E40" r:id="rId39" display="https://www.compraspublicas.gob.ec/ProcesoContratacion/compras/PC/informacionProcesoContratacion2.cpe?idSoliCompra=tBphsxAgPul5IRQXLEHv2tJvOXZv-ODX7Ki_F55rwLI,"/>
    <hyperlink ref="E41" r:id="rId40" display="https://www.compraspublicas.gob.ec/ProcesoContratacion/compras/PC/informacionProcesoContratacion2.cpe?idSoliCompra=-OqszzaSboGCTUOY0iGDu0OokFJHaya6F7rfr7o9FvQ,"/>
    <hyperlink ref="E42" r:id="rId41" display="https://www.compraspublicas.gob.ec/ProcesoContratacion/compras/SC/sci.cpe?idSoliCompra=cAY9sxH65_YBicckGS0_bdSoooGqvdoXQf9LNlOSwaM,"/>
    <hyperlink ref="E43" r:id="rId42" display="https://www.compraspublicas.gob.ec/ProcesoContratacion/compras/SC/sci.cpe?idSoliCompra=2lYqchHquMShgu0T_IjPfBFPPq_w2fhof4x-JP7QFZQ,"/>
    <hyperlink ref="E44" r:id="rId43" display="https://www.compraspublicas.gob.ec/ProcesoContratacion/compras/PC/informacionProcesoContratacion2.cpe?idSoliCompra=fWDKAflGH3T-UY3HUCyZD5ouORcTuzcmdIBU78F6vPk,"/>
    <hyperlink ref="E45" r:id="rId44" display="https://www.compraspublicas.gob.ec/ProcesoContratacion/compras/PC/informacionProcesoContratacion2.cpe?idSoliCompra=dwUFZymuPLadUfzXrnrom2SSGQ85uPDPwBoqBSXK2P0,"/>
    <hyperlink ref="E46" r:id="rId45" display="https://www.compraspublicas.gob.ec/ProcesoContratacion/compras/PC/informacionProcesoContratacion2.cpe?idSoliCompra=eFJA_T2HbsJMPhQTCaz5SWwxjavLSilf4SQsFHPzHS8,"/>
    <hyperlink ref="E47" r:id="rId46" display="https://www.compraspublicas.gob.ec/ProcesoContratacion/compras/PC/informacionProcesoContratacion2.cpe?idSoliCompra=BTNYkboFULvHyE0EfA7vaARrp6aENPy8frwH-vLoUmA,"/>
    <hyperlink ref="E48" r:id="rId47" display="https://www.compraspublicas.gob.ec/ProcesoContratacion/compras/PC/informacionProcesoContratacion2.cpe?idSoliCompra=NJxVypgSXd0UIDu5nqv-cC-RS089Pj9cBGVhe3UjAMg,"/>
    <hyperlink ref="E49" r:id="rId48" display="https://www.compraspublicas.gob.ec/ProcesoContratacion/compras/PC/informacionProcesoContratacion2.cpe?idSoliCompra=4GOkcF1wF8u1Enr4SrCrRo82MYaq11vQaHJKvDAWVpQ,"/>
    <hyperlink ref="E50" r:id="rId49" display="https://www.compraspublicas.gob.ec/ProcesoContratacion/compras/PC/informacionProcesoContratacion2.cpe?idSoliCompra=If5f2snBhP0pcaBLXX8PoyWADRjBDwszy4Lfx6OBCrw,"/>
    <hyperlink ref="E51" r:id="rId50" display="https://www.compraspublicas.gob.ec/ProcesoContratacion/compras/SC/sci.cpe?idSoliCompra=c-i3zwhUK5f2un8qBGyvC7ol-WrVysgscKyGkUHgGF4,"/>
    <hyperlink ref="E52" r:id="rId51" display="https://www.compraspublicas.gob.ec/ProcesoContratacion/compras/PC/informacionProcesoContratacion2.cpe?idSoliCompra=asbTX6TT_skKPUQLE9Fpx5r85OqvXumjjAGRahl7kfY,"/>
    <hyperlink ref="E53" r:id="rId52" display="https://www.compraspublicas.gob.ec/ProcesoContratacion/compras/PC/informacionProcesoContratacion2.cpe?idSoliCompra=_F1A6MUC9SUx_MVv3Abv-zkqprOM4Zx7O_-shpSgeSo,"/>
    <hyperlink ref="E54" r:id="rId53" display="https://www.compraspublicas.gob.ec/ProcesoContratacion/compras/PC/informacionProcesoContratacion2.cpe?idSoliCompra=4GoWTMY9dE1jjIBZz1CHUCUQ9Bpnh6YyCbEl6EOO_ic,"/>
    <hyperlink ref="E55" r:id="rId54" display="https://www.compraspublicas.gob.ec/ProcesoContratacion/compras/PC/informacionProcesoContratacion2.cpe?idSoliCompra=P0aZFDFtcGzGz-0HgUHJGLEOR4VaxPozy9PqNn8joSY,"/>
    <hyperlink ref="E56" r:id="rId55" display="https://www.compraspublicas.gob.ec/ProcesoContratacion/compras/PC/informacionProcesoContratacion2.cpe?idSoliCompra=K7XWGLEpbQo2gSl5dbIJNM6GCWUCcBEtbuqFLbZjGJY,"/>
    <hyperlink ref="E57" r:id="rId56" display="https://www.compraspublicas.gob.ec/ProcesoContratacion/compras/PC/informacionProcesoContratacion2.cpe?idSoliCompra=DqXA2Um_myVVHBCOVt3ONLUR_jZiAt-_aaGQ2Sc1pR0,"/>
    <hyperlink ref="E58" r:id="rId57" display="https://www.compraspublicas.gob.ec/ProcesoContratacion/compras/PC/informacionProcesoContratacion2.cpe?idSoliCompra=sS_SNik4WDNxA8u-TVemHMvUJawSe47w-Cwz290ZlR0,"/>
    <hyperlink ref="E59" r:id="rId58" display="https://www.compraspublicas.gob.ec/ProcesoContratacion/compras/PC/informacionProcesoContratacion2.cpe?idSoliCompra=okiAhvs2XPGPM4_UqPZSKgCNeDPNpabE7fo35HQTMs0,"/>
    <hyperlink ref="E60" r:id="rId59" display="https://www.compraspublicas.gob.ec/ProcesoContratacion/compras/PC/informacionProcesoContratacion2.cpe?idSoliCompra=lPTzbFGq6squs227IzksTpXiETrRfDq9yyZ9131dhFw,"/>
    <hyperlink ref="E61" r:id="rId60" display="https://www.compraspublicas.gob.ec/ProcesoContratacion/compras/PC/informacionProcesoContratacion2.cpe?idSoliCompra=aD3iHEYQykvt-WXmFJ8Fq_iZQNJjA1oej9fGLXBg9tQ,"/>
    <hyperlink ref="E62" r:id="rId61" display="https://www.compraspublicas.gob.ec/ProcesoContratacion/compras/PC/informacionProcesoContratacion2.cpe?idSoliCompra=XIrqr-FN1i1K8tfUSIQKaF-6Z6bmyeGn2mFIMfxQJ9E,"/>
    <hyperlink ref="E63" r:id="rId62" display="https://www.compraspublicas.gob.ec/ProcesoContratacion/compras/PC/informacionProcesoContratacion2.cpe?idSoliCompra=I7piuVIk1jbdxWqR13Ar8PSNFyJ0UylSFPgScib9qUs,"/>
    <hyperlink ref="E64" r:id="rId63" display="https://www.compraspublicas.gob.ec/ProcesoContratacion/compras/PC/informacionProcesoContratacion2.cpe?idSoliCompra=KzOOSO4vRWS4cpzJ6Vf7bNdns2EHnxDQsRs71CQxES0,"/>
    <hyperlink ref="E65" r:id="rId64" display="https://www.compraspublicas.gob.ec/ProcesoContratacion/compras/PC/informacionProcesoContratacion2.cpe?idSoliCompra=2UfYg1nvK9iRWogUgVGc94J3uOzHcMTwRCvi_O9mvc8,"/>
    <hyperlink ref="E66" r:id="rId65" display="https://www.compraspublicas.gob.ec/ProcesoContratacion/compras/PC/informacionProcesoContratacion2.cpe?idSoliCompra=yrrY0nPTbNv6O9Jq9_ggGgdzUEJRwqoIA9hu3dxWZ54,"/>
    <hyperlink ref="E67" r:id="rId66" display="https://www.compraspublicas.gob.ec/ProcesoContratacion/compras/PC/informacionProcesoContratacion2.cpe?idSoliCompra=vUELR3ZPbqLbmTX-nfksMuaocaDOowTDhnk79vLqiYQ,"/>
    <hyperlink ref="E68" r:id="rId67" display="https://www.compraspublicas.gob.ec/ProcesoContratacion/compras/PC/informacionProcesoContratacion2.cpe?idSoliCompra=n18yb0WY3pf4vdiRWThOVhS9yXsgFePAkjspHEnUZaA,"/>
    <hyperlink ref="E69" r:id="rId68" display="https://www.compraspublicas.gob.ec/ProcesoContratacion/compras/PC/informacionProcesoContratacion2.cpe?idSoliCompra=czm6U3FMrEt9ZVceZPue--ENPdny3O6bvtWgRfxsRYc,"/>
    <hyperlink ref="E70" r:id="rId69" display="https://www.compraspublicas.gob.ec/ProcesoContratacion/compras/PC/informacionProcesoContratacion2.cpe?idSoliCompra=bRI1cXZWBarf7l54WnXpqhq_vo3Hpp_k1wK2N1cB9gk,"/>
    <hyperlink ref="E71" r:id="rId70" display="https://www.compraspublicas.gob.ec/ProcesoContratacion/compras/PC/informacionProcesoContratacion2.cpe?idSoliCompra=JK5ceDojvOWxcDlm8tIP1AEZLwYWTpg2e1eZvOec5hE,"/>
    <hyperlink ref="E72" r:id="rId71" display="https://www.compraspublicas.gob.ec/ProcesoContratacion/compras/SC/sci.cpe?idSoliCompra=AJlYIpbEvFfaYzAAfmUlD3R0sjBAZi484LXQcvpPwnc,"/>
    <hyperlink ref="E73" r:id="rId72" display="https://www.compraspublicas.gob.ec/ProcesoContratacion/compras/PC/informacionProcesoContratacion2.cpe?idSoliCompra=0ADhwfO4x9KOeUcRelZbIW0do-nqwR5qhiqQNx4fehs,"/>
    <hyperlink ref="E74" r:id="rId73" display="https://www.compraspublicas.gob.ec/ProcesoContratacion/compras/PC/informacionProcesoContratacion2.cpe?idSoliCompra=I5QgAZSFqHHu47OWCFBlB00TNOjqYfRlUlB3QQ_9lmE,"/>
    <hyperlink ref="E75" r:id="rId74" display="https://www.compraspublicas.gob.ec/ProcesoContratacion/compras/PC/informacionProcesoContratacion2.cpe?idSoliCompra=v3P8t6H81d8IHRg0jZ7rfLgjuO144lx8-D-ofeW9Mho,"/>
    <hyperlink ref="E76" r:id="rId75" display="https://www.compraspublicas.gob.ec/ProcesoContratacion/compras/PC/informacionProcesoContratacion2.cpe?idSoliCompra=nggoO0e0PY8SP7gxN5sZAssP__hTde9Z7XijWiLMUpc,"/>
    <hyperlink ref="E77" r:id="rId76" display="https://www.compraspublicas.gob.ec/ProcesoContratacion/compras/PC/informacionProcesoContratacion2.cpe?idSoliCompra=PfSS5akirBqf9HQH9sGGw1OSTBByN1CF_mBhqhA1u7g,"/>
    <hyperlink ref="E78" r:id="rId77" display="https://www.compraspublicas.gob.ec/ProcesoContratacion/compras/SC/sci.cpe?idSoliCompra=5OiwLBa4MIL-KYIsy6UGib3PLWU8uJb7im51fhBsQuw,"/>
    <hyperlink ref="E79" r:id="rId78" display="https://www.compraspublicas.gob.ec/ProcesoContratacion/compras/PC/informacionProcesoContratacion2.cpe?idSoliCompra=QLlOtlF3-B_aR5yxp1yBD4nvPoK8TMrEhxAzVivBZaQ,"/>
    <hyperlink ref="E80" r:id="rId79" display="https://www.compraspublicas.gob.ec/ProcesoContratacion/compras/PC/informacionProcesoContratacion2.cpe?idSoliCompra=-nll65N8OmdmgTfigQ1fVOcfOp3moGD528nfa1P8xYs,"/>
    <hyperlink ref="E81" r:id="rId80" display="https://www.compraspublicas.gob.ec/ProcesoContratacion/compras/PC/informacionProcesoContratacion2.cpe?idSoliCompra=FLiYK7wexc-JSZUi4hTp_mItFcBMokwI1W1Ezw0txes,"/>
    <hyperlink ref="E82" r:id="rId81" display="https://www.compraspublicas.gob.ec/ProcesoContratacion/compras/PC/informacionProcesoContratacion2.cpe?idSoliCompra=--Kn_FDKXRMudyVI465cb5KiXDjF15V24Sm_F6jvo9s,"/>
    <hyperlink ref="E83" r:id="rId82" display="https://www.compraspublicas.gob.ec/ProcesoContratacion/compras/PC/informacionProcesoContratacion2.cpe?idSoliCompra=Zi_S9RsaXe5dPymMtN_2kgUP1c2M1omUDgtz355ckEI,"/>
    <hyperlink ref="E84" r:id="rId83" display="https://www.compraspublicas.gob.ec/ProcesoContratacion/compras/PC/informacionProcesoContratacion2.cpe?idSoliCompra=rRpLGx1ociAYp8IEeUreMD7Gv80H8gJ24rdJgRCspFs,"/>
    <hyperlink ref="E85" r:id="rId84" display="https://www.compraspublicas.gob.ec/ProcesoContratacion/compras/PC/informacionProcesoContratacion2.cpe?idSoliCompra=EeO721LXHlaNrKZLRqv3q7b5VAUCVxjkFv7VgFlZri8,"/>
    <hyperlink ref="E86" r:id="rId85" display="https://www.compraspublicas.gob.ec/ProcesoContratacion/compras/PC/informacionProcesoContratacion2.cpe?idSoliCompra=UYIwpYZl_XP4D4ezjEz1EqoNJEg0cgdJQ5sFdb2KeOY,"/>
    <hyperlink ref="E87" r:id="rId86" display="https://www.compraspublicas.gob.ec/ProcesoContratacion/compras/PC/informacionProcesoContratacion2.cpe?idSoliCompra=qFJklkB_2mQsA0bVdJguKQQZTM-9g-gIkZQC3HWXntM,"/>
    <hyperlink ref="E88" r:id="rId87" display="https://www.compraspublicas.gob.ec/ProcesoContratacion/compras/SC/sci.cpe?idSoliCompra=yDyln-kjbkSbCEYnDzaeW9aIF7tCtMVERQmM0j0PamQ,"/>
    <hyperlink ref="E89" r:id="rId88" display="https://www.compraspublicas.gob.ec/ProcesoContratacion/compras/PC/informacionProcesoContratacion2.cpe?idSoliCompra=x05VTlNeZfNw-_1vSZueXG6N_A4lieRTXLTAGyH4VyU,"/>
    <hyperlink ref="E90" r:id="rId89" display="https://www.compraspublicas.gob.ec/ProcesoContratacion/compras/PC/informacionProcesoContratacion2.cpe?idSoliCompra=R2Tv6hoN8lqfhgdg-mL-PKxw3BBF3c7ga-ZON_a5Raw,"/>
    <hyperlink ref="E91" r:id="rId90" display="https://www.compraspublicas.gob.ec/ProcesoContratacion/compras/PC/informacionProcesoContratacion2.cpe?idSoliCompra=YgqVJUFHzvLyb43-_pAAj39p6pwLMUREBlsPaU3D5Z0,"/>
    <hyperlink ref="E92" r:id="rId91" display="https://www.compraspublicas.gob.ec/ProcesoContratacion/compras/PC/informacionProcesoContratacion2.cpe?idSoliCompra=PoAile992SfDZDbBq2KOAU0RseDRodr1eJGtft3PUCE,"/>
    <hyperlink ref="E93" r:id="rId92" display="https://www.compraspublicas.gob.ec/ProcesoContratacion/compras/PC/informacionProcesoContratacion2.cpe?idSoliCompra=884K8mS99YW5juRCQQwzj0lyY1PbDooTZPy0Rf5N1zI,"/>
    <hyperlink ref="E94" r:id="rId93" display="https://www.compraspublicas.gob.ec/ProcesoContratacion/compras/PC/informacionProcesoContratacion2.cpe?idSoliCompra=ULQCwHaBnt-QIAZpW6AymYvrI48W-ipbu5EUwi1KnDk,"/>
    <hyperlink ref="E95" r:id="rId94" display="https://www.compraspublicas.gob.ec/ProcesoContratacion/compras/PC/informacionProcesoContratacion2.cpe?idSoliCompra=1XiaQOKZ3eaOS_V2HsNUdvzjNlaxMeFoJ75nN3dcE3E,"/>
    <hyperlink ref="E96" r:id="rId95" display="https://www.compraspublicas.gob.ec/ProcesoContratacion/compras/PC/informacionProcesoContratacion2.cpe?idSoliCompra=l9dcIIyaa3cqbGV649RpPAcc4azk4SMk95BLmH_88SA,"/>
    <hyperlink ref="E97" r:id="rId96" display="https://www.compraspublicas.gob.ec/ProcesoContratacion/compras/PC/informacionProcesoContratacion2.cpe?idSoliCompra=-pME_EjhZWVPXXpH6NGW8E8xDtRy782WXIEITottKH8,"/>
    <hyperlink ref="E98" r:id="rId97" display="https://www.compraspublicas.gob.ec/ProcesoContratacion/compras/PC/informacionProcesoContratacion2.cpe?idSoliCompra=-0QDi9gJJgO4MA69-Jdqm3JevenD0-u5_6TlRdsksN4,"/>
    <hyperlink ref="E99" r:id="rId98" display="https://www.compraspublicas.gob.ec/ProcesoContratacion/compras/PC/informacionProcesoContratacion2.cpe?idSoliCompra=rgPrE4GoWlnuIuRqGwXreLb-bqFYV_VlGzWBOpXelFA,"/>
    <hyperlink ref="E100" r:id="rId99" display="https://www.compraspublicas.gob.ec/ProcesoContratacion/compras/PC/informacionProcesoContratacion2.cpe?idSoliCompra=_q5Sp_5Ou-vMEpFyI26Mt5cnyaJV9_rxMJ1AzGgXiq0,"/>
    <hyperlink ref="E101" r:id="rId100" display="https://www.compraspublicas.gob.ec/ProcesoContratacion/compras/PC/informacionProcesoContratacion2.cpe?idSoliCompra=TulClpW6yrsvQ-MwlhVX7Pg04eimqvsid9Y0L75sPn8,"/>
    <hyperlink ref="E102" r:id="rId101" display="https://www.compraspublicas.gob.ec/ProcesoContratacion/compras/PC/informacionProcesoContratacion2.cpe?idSoliCompra=cZYt3xG815cDf3K9LIEeLDEmgFCqTBtE4wuyNqswJF0,"/>
    <hyperlink ref="E103" r:id="rId102" display="https://www.compraspublicas.gob.ec/ProcesoContratacion/compras/PC/informacionProcesoContratacion2.cpe?idSoliCompra=4aYkVWtvfImm8fCG075pp7siGK9V6MSjqUNecbCbZIU,"/>
    <hyperlink ref="E104" r:id="rId103" display="https://www.compraspublicas.gob.ec/ProcesoContratacion/compras/PC/informacionProcesoContratacion2.cpe?idSoliCompra=GOzdcCHHuiGekrpMoFR9MtbgcIL6bMAHuB_H0LMphiE,"/>
    <hyperlink ref="E105" r:id="rId104" display="https://www.compraspublicas.gob.ec/ProcesoContratacion/compras/SC/sci.cpe?idSoliCompra=PZQ6CrGT5Fsodd6dzuyrR3qH2mV-8N0C86yALoetFEw,"/>
    <hyperlink ref="E106" r:id="rId105" display="https://www.compraspublicas.gob.ec/ProcesoContratacion/compras/PC/informacionProcesoContratacion2.cpe?idSoliCompra=k7XUS5znbSvGpXCkBt3puNp8K60UvAvPcIKZDCN9wTU,"/>
    <hyperlink ref="E107" r:id="rId106" display="https://www.compraspublicas.gob.ec/ProcesoContratacion/compras/PC/informacionProcesoContratacion2.cpe?idSoliCompra=zhLc_Qw-Awo1Qi9Tiw7SsAn6ozp9I2CErujEWmeezmg,"/>
    <hyperlink ref="E108" r:id="rId107" display="https://www.compraspublicas.gob.ec/ProcesoContratacion/compras/PC/informacionProcesoContratacion2.cpe?idSoliCompra=Ai4_Zwcu-fZwIt06M36YxEwyQl1fAdXM4e5O5ArOQZs,"/>
    <hyperlink ref="E109" r:id="rId108" display="https://www.compraspublicas.gob.ec/ProcesoContratacion/compras/PC/informacionProcesoContratacion2.cpe?idSoliCompra=XpgrmKhpwyQlG72nwoU7MqA5tS2WYLAOC4YH9Pq6YWY,"/>
    <hyperlink ref="E110" r:id="rId109" display="https://www.compraspublicas.gob.ec/ProcesoContratacion/compras/PC/informacionProcesoContratacion2.cpe?idSoliCompra=hqzEwU0rlbSCLO9dBtOfXgFboLrM8aSlokDoCzXTtKI,"/>
    <hyperlink ref="E111" r:id="rId110" display="https://www.compraspublicas.gob.ec/ProcesoContratacion/compras/PC/informacionProcesoContratacion2.cpe?idSoliCompra=N4TV2HO7tZWjwPXz0oU_3HwRtQCW787m_3lQA3CNk4A,"/>
    <hyperlink ref="E112" r:id="rId111" display="https://www.compraspublicas.gob.ec/ProcesoContratacion/compras/PC/informacionProcesoContratacion2.cpe?idSoliCompra=XZtOrrtNrgnWr8I5T6zTY2v30Q0eNsG6mJgIJcNK9-8,"/>
    <hyperlink ref="E113" r:id="rId112" display="https://www.compraspublicas.gob.ec/ProcesoContratacion/compras/PC/informacionProcesoContratacion2.cpe?idSoliCompra=hdVk-IiG_ic6aXLIyvfSV2Kwi6M91Uaus6VV5HoV8Y0,"/>
    <hyperlink ref="E114" r:id="rId113" display="https://www.compraspublicas.gob.ec/ProcesoContratacion/compras/PC/informacionProcesoContratacion2.cpe?idSoliCompra=TCjpXA9FR_xFl61sGtebzKMG1XDsL3ZEY-sPFNv5ihU,"/>
    <hyperlink ref="E115" r:id="rId114" display="https://www.compraspublicas.gob.ec/ProcesoContratacion/compras/SC/sci.cpe?idSoliCompra=Qtgz_ZOUMosc-sjeTQfWZL_PyOSMmIIoDaWnqeEN17g,"/>
    <hyperlink ref="E116" r:id="rId115" display="https://www.compraspublicas.gob.ec/ProcesoContratacion/compras/PC/informacionProcesoContratacion2.cpe?idSoliCompra=6gM6HF0Lj_za5ZYv6bAPjx-ps6ty_OluxOmXvKZ5SZI,"/>
    <hyperlink ref="E117" r:id="rId116" display="https://www.compraspublicas.gob.ec/ProcesoContratacion/compras/PC/informacionProcesoContratacion2.cpe?idSoliCompra=D45FfyV9D03Gu6xWtvrcL3oQ4ZgOteg3MlhUC1DsUp4,"/>
    <hyperlink ref="E118" r:id="rId117" display="https://www.compraspublicas.gob.ec/ProcesoContratacion/compras/PC/informacionProcesoContratacion2.cpe?idSoliCompra=NufXPNhejJCjRrans8TPzPMauU1oQ8Aai3Y6T5_oylM,"/>
    <hyperlink ref="E119" r:id="rId118" display="https://www.compraspublicas.gob.ec/ProcesoContratacion/compras/PC/informacionProcesoContratacion2.cpe?idSoliCompra=HODcgmud7jYD-t5E2GOnVDX-8Y6wejHdls3_zj488G8,"/>
    <hyperlink ref="E120" r:id="rId119" display="https://www.compraspublicas.gob.ec/ProcesoContratacion/compras/PC/informacionProcesoContratacion2.cpe?idSoliCompra=--KXiOmGvUbf4fA8JjKkA8lRmCHsLd6QHCtEqnr355o,"/>
    <hyperlink ref="E121" r:id="rId120" display="https://www.compraspublicas.gob.ec/ProcesoContratacion/compras/PC/informacionProcesoContratacion2.cpe?idSoliCompra=vbnbuf5_4cc_6m6BYLO0DPNKvneaVjwTA9FyiDLRfrE,"/>
    <hyperlink ref="E122" r:id="rId121" display="https://www.compraspublicas.gob.ec/ProcesoContratacion/compras/PC/informacionProcesoContratacion2.cpe?idSoliCompra=vmi-XppuRTd8imOtKxHTS7DvzeNffw6sMf8LsDkykxo,"/>
    <hyperlink ref="E123" r:id="rId122" display="https://www.compraspublicas.gob.ec/ProcesoContratacion/compras/PC/informacionProcesoContratacion2.cpe?idSoliCompra=ytZUfwhwzd3CDrK3b6Wc-nmoSQzoal9lKBAfR9t4R8U,"/>
    <hyperlink ref="E124" r:id="rId123" display="https://www.compraspublicas.gob.ec/ProcesoContratacion/compras/PC/informacionProcesoContratacion2.cpe?idSoliCompra=iIJkYQR-14BXt7yPM2gN5f3TBJqhOC0pP37xoMKikis,"/>
    <hyperlink ref="E125" r:id="rId124" display="https://www.compraspublicas.gob.ec/ProcesoContratacion/compras/PC/informacionProcesoContratacion2.cpe?idSoliCompra=VhaZcISCcx04TQlsL2dw8DYdl5iD3RDxB8Ql1_VJw7w,"/>
    <hyperlink ref="E126" r:id="rId125" display="https://www.compraspublicas.gob.ec/ProcesoContratacion/compras/PC/informacionProcesoContratacion2.cpe?idSoliCompra=gJUHWgf8xca_6Lf8Zp-CqRO-Jfr6rSV3Al60kPdh4jE,"/>
    <hyperlink ref="E127" r:id="rId126" display="https://www.compraspublicas.gob.ec/ProcesoContratacion/compras/PC/informacionProcesoContratacion2.cpe?idSoliCompra=UaSgpjjmEMNdr6ZhO0kF08oiIloRZrveTGMyX_yWCuQ,"/>
    <hyperlink ref="E128" r:id="rId127" display="https://www.compraspublicas.gob.ec/ProcesoContratacion/compras/PC/informacionProcesoContratacion2.cpe?idSoliCompra=dVR2DZk0qbJx3NQKGPNnG2DHww38pAaLQ76uYqWCDq4,"/>
    <hyperlink ref="E129" r:id="rId128" display="https://www.compraspublicas.gob.ec/ProcesoContratacion/compras/PC/informacionProcesoContratacion2.cpe?idSoliCompra=ZcnDkT1_MpwokMMGP5onagZEMMaQJmAQQT4lP1mMEVM,"/>
    <hyperlink ref="E130" r:id="rId129" display="https://www.compraspublicas.gob.ec/ProcesoContratacion/compras/PC/informacionProcesoContratacion2.cpe?idSoliCompra=EL4_OkvRdxdB6ptjKsm3D4b6CND3Bri8_CWL3WLSoJY,"/>
    <hyperlink ref="E131" r:id="rId130" display="https://www.compraspublicas.gob.ec/ProcesoContratacion/compras/PC/informacionProcesoContratacion2.cpe?idSoliCompra=Qc-2XHIA64JYO9Ls1fT4iBDEyi1hIdwWbhLo5qTIyFw,"/>
    <hyperlink ref="E132" r:id="rId131" display="https://www.compraspublicas.gob.ec/ProcesoContratacion/compras/PC/informacionProcesoContratacion2.cpe?idSoliCompra=h6sA2jqBZjR1UAFdF57OAG9ZcMvv6vE7HLKP7KJFPcw,"/>
    <hyperlink ref="E133" r:id="rId132" display="https://www.compraspublicas.gob.ec/ProcesoContratacion/compras/SC/sci.cpe?idSoliCompra=WJlHY5DQudpNb7iIIBg-QloyJnYqfisHoS-vzq9uUhQ,"/>
    <hyperlink ref="E134" r:id="rId133" display="https://www.compraspublicas.gob.ec/ProcesoContratacion/compras/PC/informacionProcesoContratacion2.cpe?idSoliCompra=If4v3alkqbn8ZoIyrxv21IXLeqnM0lo_d8x_xhGwy6o,"/>
    <hyperlink ref="E135" r:id="rId134" display="https://www.compraspublicas.gob.ec/ProcesoContratacion/compras/PC/informacionProcesoContratacion2.cpe?idSoliCompra=10xc51H-UQbGClGFWhWNSvPvjrOpC4sMcrntda5_Qqc,"/>
    <hyperlink ref="E136" r:id="rId135" display="https://www.compraspublicas.gob.ec/ProcesoContratacion/compras/PC/informacionProcesoContratacion2.cpe?idSoliCompra=4eQKlyYwsb0nGGjN8XFYoWpa8hjnHE5Dn1V8oIRClwQ,"/>
    <hyperlink ref="E137" r:id="rId136" display="https://www.compraspublicas.gob.ec/ProcesoContratacion/compras/PC/informacionProcesoContratacion2.cpe?idSoliCompra=5FvwQ4Kk5ZlT5UhMHj35mC2VQOOrvMh5w5bdu3y0Rxo,"/>
    <hyperlink ref="E138" r:id="rId137" display="https://www.compraspublicas.gob.ec/ProcesoContratacion/compras/PC/informacionProcesoContratacion2.cpe?idSoliCompra=FB0AezsbcKLzQO82GNbMSmrLDoDptjBP7_IH9EJfBOY,"/>
    <hyperlink ref="E139" r:id="rId138" display="https://www.compraspublicas.gob.ec/ProcesoContratacion/compras/PC/informacionProcesoContratacion2.cpe?idSoliCompra=qURypaeIDPzrRpbgyw8h4mWL5XvurR2Lys0PkvY4Q44,"/>
    <hyperlink ref="E140" r:id="rId139" display="https://www.compraspublicas.gob.ec/ProcesoContratacion/compras/PC/informacionProcesoContratacion2.cpe?idSoliCompra=gna0TMaT3O3jmi2TddwFRji2OlhcFb3HNaV0NJdFSQg,"/>
    <hyperlink ref="E141" r:id="rId140" display="https://www.compraspublicas.gob.ec/ProcesoContratacion/compras/PC/informacionProcesoContratacion2.cpe?idSoliCompra=LNlJ5IGjsY_wCQ-oZ0a56Qvi4waQE9MEhW_NyiEWoZc,"/>
    <hyperlink ref="E142" r:id="rId141" display="https://www.compraspublicas.gob.ec/ProcesoContratacion/compras/PC/informacionProcesoContratacion2.cpe?idSoliCompra=-usSEWibWxzTxz7l4qK3T9ZsXv96klNduQUBgkaKF80,"/>
    <hyperlink ref="E143" r:id="rId142" display="https://www.compraspublicas.gob.ec/ProcesoContratacion/compras/PC/informacionProcesoContratacion2.cpe?idSoliCompra=vJTPvCu5HhDeEPGNbHZ3kgAM46Qk8f-s5oqJOyTHrQ0,"/>
    <hyperlink ref="E144" r:id="rId143" display="https://www.compraspublicas.gob.ec/ProcesoContratacion/compras/PC/informacionProcesoContratacion2.cpe?idSoliCompra=7ZktWij1wdMsBzlWy65zpJc7lEV3lO4DWJemotqwga4,"/>
    <hyperlink ref="E145" r:id="rId144" display="https://www.compraspublicas.gob.ec/ProcesoContratacion/compras/PC/informacionProcesoContratacion2.cpe?idSoliCompra=vKZMjOWxbtmVjI5ptrMqjzAy9YNAyjdCaqWjvamTOZI,"/>
    <hyperlink ref="E146" r:id="rId145" display="https://www.compraspublicas.gob.ec/ProcesoContratacion/compras/PC/informacionProcesoContratacion2.cpe?idSoliCompra=S0ZLSloZqQtrAYOYwNGjmDUs7rXNL7Q0g7KhVn84LwU,"/>
    <hyperlink ref="E147" r:id="rId146" display="https://www.compraspublicas.gob.ec/ProcesoContratacion/compras/PC/informacionProcesoContratacion2.cpe?idSoliCompra=nfqzBEj79qw1u7tFcwQL-bNtJy7b4MEUewt8zSMyfUM,"/>
  </hyperlinks>
  <pageMargins left="0.7" right="0.7" top="0.75" bottom="0.75" header="0.3" footer="0.3"/>
  <pageSetup orientation="portrait" r:id="rId147"/>
  <legacyDrawing r:id="rId1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5" zoomScaleNormal="100" workbookViewId="0">
      <selection activeCell="A15" sqref="A15:N15"/>
    </sheetView>
  </sheetViews>
  <sheetFormatPr baseColWidth="10" defaultRowHeight="15" x14ac:dyDescent="0.25"/>
  <cols>
    <col min="1" max="1" width="7.5703125" style="113" customWidth="1"/>
    <col min="2" max="2" width="9.42578125" customWidth="1"/>
    <col min="3" max="3" width="15.42578125" customWidth="1"/>
    <col min="4" max="11" width="14.85546875" customWidth="1"/>
    <col min="12" max="13" width="14.85546875" hidden="1" customWidth="1"/>
    <col min="14" max="14" width="15.140625" hidden="1" customWidth="1"/>
  </cols>
  <sheetData>
    <row r="1" spans="1:14" hidden="1" x14ac:dyDescent="0.25"/>
    <row r="2" spans="1:14" ht="23.25" hidden="1" x14ac:dyDescent="0.25">
      <c r="A2" s="281" t="s">
        <v>36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91"/>
    </row>
    <row r="3" spans="1:14" ht="20.25" hidden="1" customHeight="1" x14ac:dyDescent="0.25">
      <c r="A3" s="280" t="s">
        <v>23</v>
      </c>
      <c r="B3" s="280" t="s">
        <v>37</v>
      </c>
      <c r="C3" s="124"/>
      <c r="D3" s="283" t="s">
        <v>72</v>
      </c>
      <c r="E3" s="135"/>
      <c r="F3" s="280" t="s">
        <v>192</v>
      </c>
      <c r="G3" s="280" t="s">
        <v>193</v>
      </c>
      <c r="H3" s="126"/>
      <c r="I3" s="134"/>
      <c r="J3" s="280" t="s">
        <v>74</v>
      </c>
      <c r="K3" s="280" t="s">
        <v>73</v>
      </c>
      <c r="L3" s="289" t="s">
        <v>194</v>
      </c>
      <c r="M3" s="280" t="s">
        <v>195</v>
      </c>
      <c r="N3" s="289" t="s">
        <v>25</v>
      </c>
    </row>
    <row r="4" spans="1:14" ht="20.25" hidden="1" customHeight="1" x14ac:dyDescent="0.25">
      <c r="A4" s="280"/>
      <c r="B4" s="280"/>
      <c r="C4" s="125"/>
      <c r="D4" s="284"/>
      <c r="E4" s="136"/>
      <c r="F4" s="280"/>
      <c r="G4" s="280"/>
      <c r="H4" s="126"/>
      <c r="I4" s="134"/>
      <c r="J4" s="280"/>
      <c r="K4" s="280"/>
      <c r="L4" s="290"/>
      <c r="M4" s="280"/>
      <c r="N4" s="290"/>
    </row>
    <row r="5" spans="1:14" ht="28.5" hidden="1" customHeight="1" x14ac:dyDescent="0.25">
      <c r="A5" s="111">
        <v>1</v>
      </c>
      <c r="B5" s="46" t="s">
        <v>29</v>
      </c>
      <c r="C5" s="129"/>
      <c r="D5" s="99">
        <v>39</v>
      </c>
      <c r="E5" s="99"/>
      <c r="F5" s="104">
        <v>3</v>
      </c>
      <c r="G5" s="104">
        <v>2</v>
      </c>
      <c r="H5" s="104"/>
      <c r="I5" s="104"/>
      <c r="J5" s="104">
        <v>13</v>
      </c>
      <c r="K5" s="104">
        <v>1</v>
      </c>
      <c r="L5" s="104">
        <v>3</v>
      </c>
      <c r="M5" s="105">
        <v>0</v>
      </c>
      <c r="N5" s="58">
        <f t="shared" ref="N5:N13" si="0">SUBTOTAL(9,F5:L5)</f>
        <v>22</v>
      </c>
    </row>
    <row r="6" spans="1:14" ht="28.5" hidden="1" customHeight="1" x14ac:dyDescent="0.25">
      <c r="A6" s="112">
        <v>2</v>
      </c>
      <c r="B6" s="49" t="s">
        <v>28</v>
      </c>
      <c r="C6" s="130"/>
      <c r="D6" s="100">
        <v>15</v>
      </c>
      <c r="E6" s="100"/>
      <c r="F6" s="106">
        <v>2</v>
      </c>
      <c r="G6" s="106">
        <v>1</v>
      </c>
      <c r="H6" s="106"/>
      <c r="I6" s="106"/>
      <c r="J6" s="106">
        <v>4</v>
      </c>
      <c r="K6" s="106">
        <v>0</v>
      </c>
      <c r="L6" s="106">
        <v>0</v>
      </c>
      <c r="M6" s="105">
        <v>2</v>
      </c>
      <c r="N6" s="58">
        <f t="shared" si="0"/>
        <v>7</v>
      </c>
    </row>
    <row r="7" spans="1:14" ht="30" hidden="1" customHeight="1" x14ac:dyDescent="0.25">
      <c r="A7" s="111">
        <v>3</v>
      </c>
      <c r="B7" s="46" t="s">
        <v>21</v>
      </c>
      <c r="C7" s="129"/>
      <c r="D7" s="99">
        <v>7</v>
      </c>
      <c r="E7" s="99"/>
      <c r="F7" s="104">
        <v>0</v>
      </c>
      <c r="G7" s="104">
        <v>0</v>
      </c>
      <c r="H7" s="104"/>
      <c r="I7" s="104"/>
      <c r="J7" s="104">
        <v>2</v>
      </c>
      <c r="K7" s="104">
        <v>0</v>
      </c>
      <c r="L7" s="104">
        <v>0</v>
      </c>
      <c r="M7" s="105">
        <v>1</v>
      </c>
      <c r="N7" s="58">
        <f t="shared" si="0"/>
        <v>2</v>
      </c>
    </row>
    <row r="8" spans="1:14" ht="24.75" hidden="1" customHeight="1" x14ac:dyDescent="0.25">
      <c r="A8" s="112">
        <v>4</v>
      </c>
      <c r="B8" s="49" t="s">
        <v>32</v>
      </c>
      <c r="C8" s="130"/>
      <c r="D8" s="100">
        <v>9</v>
      </c>
      <c r="E8" s="100"/>
      <c r="F8" s="106">
        <v>2</v>
      </c>
      <c r="G8" s="106">
        <v>2</v>
      </c>
      <c r="H8" s="106"/>
      <c r="I8" s="106"/>
      <c r="J8" s="106">
        <v>2</v>
      </c>
      <c r="K8" s="106">
        <v>1</v>
      </c>
      <c r="L8" s="106">
        <v>0</v>
      </c>
      <c r="M8" s="105">
        <v>0</v>
      </c>
      <c r="N8" s="58">
        <f t="shared" si="0"/>
        <v>7</v>
      </c>
    </row>
    <row r="9" spans="1:14" ht="23.25" hidden="1" customHeight="1" x14ac:dyDescent="0.25">
      <c r="A9" s="111">
        <v>5</v>
      </c>
      <c r="B9" s="46" t="s">
        <v>31</v>
      </c>
      <c r="C9" s="129"/>
      <c r="D9" s="99">
        <v>16</v>
      </c>
      <c r="E9" s="99"/>
      <c r="F9" s="104">
        <v>0</v>
      </c>
      <c r="G9" s="104">
        <v>1</v>
      </c>
      <c r="H9" s="104"/>
      <c r="I9" s="104"/>
      <c r="J9" s="104">
        <v>1</v>
      </c>
      <c r="K9" s="104">
        <v>1</v>
      </c>
      <c r="L9" s="104">
        <v>0</v>
      </c>
      <c r="M9" s="105">
        <v>1</v>
      </c>
      <c r="N9" s="58">
        <f t="shared" si="0"/>
        <v>3</v>
      </c>
    </row>
    <row r="10" spans="1:14" ht="23.25" hidden="1" customHeight="1" x14ac:dyDescent="0.25">
      <c r="A10" s="112">
        <v>6</v>
      </c>
      <c r="B10" s="49" t="s">
        <v>34</v>
      </c>
      <c r="C10" s="130"/>
      <c r="D10" s="100">
        <v>15</v>
      </c>
      <c r="E10" s="100"/>
      <c r="F10" s="106">
        <v>0</v>
      </c>
      <c r="G10" s="106">
        <v>2</v>
      </c>
      <c r="H10" s="106"/>
      <c r="I10" s="106"/>
      <c r="J10" s="106">
        <v>7</v>
      </c>
      <c r="K10" s="106">
        <v>1</v>
      </c>
      <c r="L10" s="106">
        <v>2</v>
      </c>
      <c r="M10" s="105">
        <v>0</v>
      </c>
      <c r="N10" s="58">
        <f t="shared" si="0"/>
        <v>12</v>
      </c>
    </row>
    <row r="11" spans="1:14" ht="23.25" hidden="1" customHeight="1" x14ac:dyDescent="0.25">
      <c r="A11" s="111">
        <v>7</v>
      </c>
      <c r="B11" s="46" t="s">
        <v>35</v>
      </c>
      <c r="C11" s="129"/>
      <c r="D11" s="99">
        <v>2</v>
      </c>
      <c r="E11" s="99"/>
      <c r="F11" s="104">
        <v>0</v>
      </c>
      <c r="G11" s="104">
        <v>0</v>
      </c>
      <c r="H11" s="104"/>
      <c r="I11" s="104"/>
      <c r="J11" s="104">
        <v>2</v>
      </c>
      <c r="K11" s="104">
        <v>0</v>
      </c>
      <c r="L11" s="104">
        <v>0</v>
      </c>
      <c r="M11" s="105">
        <v>0</v>
      </c>
      <c r="N11" s="58">
        <f t="shared" si="0"/>
        <v>2</v>
      </c>
    </row>
    <row r="12" spans="1:14" ht="23.25" hidden="1" customHeight="1" x14ac:dyDescent="0.25">
      <c r="A12" s="112">
        <v>8</v>
      </c>
      <c r="B12" s="49" t="s">
        <v>33</v>
      </c>
      <c r="C12" s="130"/>
      <c r="D12" s="100">
        <v>3</v>
      </c>
      <c r="E12" s="100"/>
      <c r="F12" s="106">
        <v>0</v>
      </c>
      <c r="G12" s="106">
        <v>1</v>
      </c>
      <c r="H12" s="106"/>
      <c r="I12" s="106"/>
      <c r="J12" s="106">
        <v>1</v>
      </c>
      <c r="K12" s="106">
        <v>0</v>
      </c>
      <c r="L12" s="106">
        <v>1</v>
      </c>
      <c r="M12" s="105">
        <v>0</v>
      </c>
      <c r="N12" s="58">
        <f t="shared" si="0"/>
        <v>3</v>
      </c>
    </row>
    <row r="13" spans="1:14" ht="23.25" hidden="1" customHeight="1" x14ac:dyDescent="0.25">
      <c r="A13" s="111">
        <v>9</v>
      </c>
      <c r="B13" s="46" t="s">
        <v>30</v>
      </c>
      <c r="C13" s="129"/>
      <c r="D13" s="99">
        <v>3</v>
      </c>
      <c r="E13" s="99"/>
      <c r="F13" s="104"/>
      <c r="G13" s="104"/>
      <c r="H13" s="104"/>
      <c r="I13" s="104"/>
      <c r="J13" s="104"/>
      <c r="K13" s="104">
        <v>1</v>
      </c>
      <c r="L13" s="104"/>
      <c r="M13" s="105">
        <v>0</v>
      </c>
      <c r="N13" s="58">
        <f t="shared" si="0"/>
        <v>1</v>
      </c>
    </row>
    <row r="14" spans="1:14" hidden="1" x14ac:dyDescent="0.25">
      <c r="A14" s="287" t="s">
        <v>25</v>
      </c>
      <c r="B14" s="288"/>
      <c r="C14" s="131"/>
      <c r="D14" s="101">
        <f>SUBTOTAL(9,D5:D13)</f>
        <v>109</v>
      </c>
      <c r="E14" s="101"/>
      <c r="F14" s="62">
        <f t="shared" ref="F14:M14" si="1">SUBTOTAL(9,F5:F13)</f>
        <v>7</v>
      </c>
      <c r="G14" s="62">
        <f t="shared" si="1"/>
        <v>9</v>
      </c>
      <c r="H14" s="62"/>
      <c r="I14" s="62"/>
      <c r="J14" s="62">
        <f t="shared" si="1"/>
        <v>32</v>
      </c>
      <c r="K14" s="95">
        <f t="shared" si="1"/>
        <v>5</v>
      </c>
      <c r="L14" s="62">
        <f t="shared" si="1"/>
        <v>6</v>
      </c>
      <c r="M14" s="62">
        <f t="shared" si="1"/>
        <v>4</v>
      </c>
      <c r="N14" s="58">
        <f>N5+N6+N7+N8+N9+N10+N11+N12+N13</f>
        <v>59</v>
      </c>
    </row>
    <row r="15" spans="1:14" ht="23.25" x14ac:dyDescent="0.25">
      <c r="A15" s="281" t="s">
        <v>36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91"/>
    </row>
    <row r="16" spans="1:14" ht="26.25" customHeight="1" x14ac:dyDescent="0.25">
      <c r="A16" s="280" t="s">
        <v>23</v>
      </c>
      <c r="B16" s="280" t="s">
        <v>37</v>
      </c>
      <c r="C16" s="283" t="s">
        <v>273</v>
      </c>
      <c r="D16" s="283" t="s">
        <v>72</v>
      </c>
      <c r="E16" s="289" t="s">
        <v>288</v>
      </c>
      <c r="F16" s="280" t="s">
        <v>275</v>
      </c>
      <c r="G16" s="280"/>
      <c r="H16" s="280"/>
      <c r="I16" s="289" t="s">
        <v>289</v>
      </c>
      <c r="J16" s="294" t="s">
        <v>277</v>
      </c>
      <c r="K16" s="295"/>
      <c r="L16" s="289" t="s">
        <v>194</v>
      </c>
      <c r="M16" s="280" t="s">
        <v>195</v>
      </c>
      <c r="N16" s="289" t="s">
        <v>25</v>
      </c>
    </row>
    <row r="17" spans="1:14" ht="26.25" customHeight="1" x14ac:dyDescent="0.25">
      <c r="A17" s="280"/>
      <c r="B17" s="280"/>
      <c r="C17" s="284"/>
      <c r="D17" s="284"/>
      <c r="E17" s="290"/>
      <c r="F17" s="138" t="s">
        <v>192</v>
      </c>
      <c r="G17" s="138" t="s">
        <v>193</v>
      </c>
      <c r="H17" s="128" t="s">
        <v>274</v>
      </c>
      <c r="I17" s="290"/>
      <c r="J17" s="127" t="s">
        <v>74</v>
      </c>
      <c r="K17" s="127" t="s">
        <v>276</v>
      </c>
      <c r="L17" s="290"/>
      <c r="M17" s="280"/>
      <c r="N17" s="290"/>
    </row>
    <row r="18" spans="1:14" ht="27" customHeight="1" x14ac:dyDescent="0.25">
      <c r="A18" s="111">
        <v>1</v>
      </c>
      <c r="B18" s="46" t="s">
        <v>29</v>
      </c>
      <c r="C18" s="133">
        <v>8094503.29</v>
      </c>
      <c r="D18" s="52">
        <v>6766370.8200000003</v>
      </c>
      <c r="E18" s="147">
        <f>(D18/C18)</f>
        <v>0.83592168383688437</v>
      </c>
      <c r="F18" s="53">
        <f>4229277.07+38600+63987.12</f>
        <v>4331864.1900000004</v>
      </c>
      <c r="G18" s="53">
        <v>29296.89</v>
      </c>
      <c r="H18" s="53">
        <v>1559880.1</v>
      </c>
      <c r="I18" s="147">
        <f>(F18+G18+H18)/C18</f>
        <v>0.73148913131147786</v>
      </c>
      <c r="J18" s="53">
        <f>264402.14+46684.32</f>
        <v>311086.46000000002</v>
      </c>
      <c r="K18" s="53">
        <f>22855+18842.2+309102.62+47487.43</f>
        <v>398287.25</v>
      </c>
      <c r="L18" s="53">
        <f>18043.38+129479.76</f>
        <v>147523.13999999998</v>
      </c>
      <c r="M18" s="142">
        <v>0</v>
      </c>
      <c r="N18" s="53">
        <f>SUBTOTAL(9,F18:M18)</f>
        <v>6777938.7614891306</v>
      </c>
    </row>
    <row r="19" spans="1:14" ht="27" customHeight="1" x14ac:dyDescent="0.25">
      <c r="A19" s="112">
        <v>2</v>
      </c>
      <c r="B19" s="49" t="s">
        <v>28</v>
      </c>
      <c r="C19" s="133">
        <v>4012955.61</v>
      </c>
      <c r="D19" s="148">
        <v>3256690.35</v>
      </c>
      <c r="E19" s="147">
        <f t="shared" ref="E19:E27" si="2">(D19/C19)</f>
        <v>0.81154407536543871</v>
      </c>
      <c r="F19" s="149">
        <f>2576190.6+36606.44</f>
        <v>2612797.04</v>
      </c>
      <c r="G19" s="149">
        <v>33462.480000000003</v>
      </c>
      <c r="H19" s="149">
        <v>0</v>
      </c>
      <c r="I19" s="147">
        <f t="shared" ref="I19:I27" si="3">(F19+G19+H19)/C19</f>
        <v>0.65942905358975556</v>
      </c>
      <c r="J19" s="149">
        <f>177637.05+63467.17+243460.1</f>
        <v>484564.31999999995</v>
      </c>
      <c r="K19" s="149">
        <f>101500+38224+6115</f>
        <v>145839</v>
      </c>
      <c r="L19" s="149">
        <v>4583.1499999999996</v>
      </c>
      <c r="M19" s="142">
        <v>42531.4</v>
      </c>
      <c r="N19" s="53">
        <f>(SUBTOTAL(9,F19:M19))-M19</f>
        <v>3281246.6494290535</v>
      </c>
    </row>
    <row r="20" spans="1:14" ht="27" customHeight="1" x14ac:dyDescent="0.25">
      <c r="A20" s="111">
        <v>3</v>
      </c>
      <c r="B20" s="46" t="s">
        <v>21</v>
      </c>
      <c r="C20" s="132">
        <v>1148641.28</v>
      </c>
      <c r="D20" s="52">
        <v>963089.62</v>
      </c>
      <c r="E20" s="147">
        <f t="shared" si="2"/>
        <v>0.83845987147527901</v>
      </c>
      <c r="F20" s="53">
        <f>476747.61+24277.32</f>
        <v>501024.93</v>
      </c>
      <c r="G20" s="53">
        <v>0</v>
      </c>
      <c r="H20" s="53">
        <v>0</v>
      </c>
      <c r="I20" s="147">
        <f t="shared" si="3"/>
        <v>0.43618920782648518</v>
      </c>
      <c r="J20" s="53">
        <v>300000</v>
      </c>
      <c r="K20" s="53">
        <v>5761.07</v>
      </c>
      <c r="L20" s="53">
        <v>78905.33</v>
      </c>
      <c r="M20" s="142">
        <v>60000</v>
      </c>
      <c r="N20" s="53">
        <f>SUBTOTAL(9,F20:M20)-M20</f>
        <v>885691.76618920779</v>
      </c>
    </row>
    <row r="21" spans="1:14" ht="27" customHeight="1" x14ac:dyDescent="0.25">
      <c r="A21" s="112">
        <v>4</v>
      </c>
      <c r="B21" s="49" t="s">
        <v>32</v>
      </c>
      <c r="C21" s="133">
        <v>775000</v>
      </c>
      <c r="D21" s="148">
        <v>714169.63</v>
      </c>
      <c r="E21" s="147">
        <f t="shared" si="2"/>
        <v>0.92150920000000003</v>
      </c>
      <c r="F21" s="149">
        <f>198792.85+11014.35</f>
        <v>209807.2</v>
      </c>
      <c r="G21" s="149">
        <v>0</v>
      </c>
      <c r="H21" s="149">
        <v>269019.64</v>
      </c>
      <c r="I21" s="147">
        <f t="shared" si="3"/>
        <v>0.61784108387096781</v>
      </c>
      <c r="J21" s="149">
        <v>223214.29</v>
      </c>
      <c r="K21" s="149">
        <f>21017.14</f>
        <v>21017.14</v>
      </c>
      <c r="L21" s="149">
        <v>0</v>
      </c>
      <c r="M21" s="142">
        <v>0</v>
      </c>
      <c r="N21" s="53">
        <f>SUBTOTAL(9,F21:M21)</f>
        <v>723058.88784108392</v>
      </c>
    </row>
    <row r="22" spans="1:14" ht="27" customHeight="1" x14ac:dyDescent="0.25">
      <c r="A22" s="111">
        <v>5</v>
      </c>
      <c r="B22" s="46" t="s">
        <v>31</v>
      </c>
      <c r="C22" s="132">
        <v>394997.96</v>
      </c>
      <c r="D22" s="52">
        <v>258296.43</v>
      </c>
      <c r="E22" s="147">
        <f t="shared" si="2"/>
        <v>0.65391838985700068</v>
      </c>
      <c r="F22" s="53">
        <f>179389.6+60060.96</f>
        <v>239450.56</v>
      </c>
      <c r="G22" s="53">
        <v>54640.36</v>
      </c>
      <c r="H22" s="53">
        <v>0</v>
      </c>
      <c r="I22" s="147">
        <f t="shared" si="3"/>
        <v>0.74453781989152545</v>
      </c>
      <c r="J22" s="53">
        <v>29017.57</v>
      </c>
      <c r="K22" s="53">
        <v>0</v>
      </c>
      <c r="L22" s="53">
        <v>12607.51</v>
      </c>
      <c r="M22" s="142">
        <v>88080</v>
      </c>
      <c r="N22" s="53">
        <f>(SUBTOTAL(9,F22:M22))-M22</f>
        <v>335716.74453781988</v>
      </c>
    </row>
    <row r="23" spans="1:14" ht="27" customHeight="1" x14ac:dyDescent="0.25">
      <c r="A23" s="112">
        <v>6</v>
      </c>
      <c r="B23" s="49" t="s">
        <v>34</v>
      </c>
      <c r="C23" s="133">
        <v>367119.77</v>
      </c>
      <c r="D23" s="148">
        <v>359568.93</v>
      </c>
      <c r="E23" s="147">
        <f t="shared" si="2"/>
        <v>0.97943221635816557</v>
      </c>
      <c r="F23" s="149">
        <f>75712.95+26353.13</f>
        <v>102066.08</v>
      </c>
      <c r="G23" s="149">
        <v>31882</v>
      </c>
      <c r="H23" s="149">
        <v>0</v>
      </c>
      <c r="I23" s="147">
        <f t="shared" si="3"/>
        <v>0.36486207212430977</v>
      </c>
      <c r="J23" s="149">
        <v>211761.19</v>
      </c>
      <c r="K23" s="149">
        <v>0</v>
      </c>
      <c r="L23" s="149">
        <v>10699.65</v>
      </c>
      <c r="M23" s="142"/>
      <c r="N23" s="53">
        <f>SUBTOTAL(9,F23:M23)</f>
        <v>356409.28486207221</v>
      </c>
    </row>
    <row r="24" spans="1:14" ht="27" customHeight="1" x14ac:dyDescent="0.25">
      <c r="A24" s="111">
        <v>7</v>
      </c>
      <c r="B24" s="46" t="s">
        <v>35</v>
      </c>
      <c r="C24" s="132">
        <v>253680</v>
      </c>
      <c r="D24" s="52">
        <v>223980.63</v>
      </c>
      <c r="E24" s="147">
        <f t="shared" si="2"/>
        <v>0.88292585146641445</v>
      </c>
      <c r="F24" s="53">
        <v>20210</v>
      </c>
      <c r="G24" s="53">
        <v>0</v>
      </c>
      <c r="H24" s="53">
        <v>0</v>
      </c>
      <c r="I24" s="147">
        <f t="shared" si="3"/>
        <v>7.9667297382529173E-2</v>
      </c>
      <c r="J24" s="53">
        <v>202480.63</v>
      </c>
      <c r="K24" s="53">
        <v>0</v>
      </c>
      <c r="L24" s="53">
        <v>1290</v>
      </c>
      <c r="M24" s="142">
        <v>0</v>
      </c>
      <c r="N24" s="53">
        <f>SUBTOTAL(9,F24:M24)</f>
        <v>223980.70966729737</v>
      </c>
    </row>
    <row r="25" spans="1:14" ht="27" customHeight="1" x14ac:dyDescent="0.25">
      <c r="A25" s="112">
        <v>8</v>
      </c>
      <c r="B25" s="49" t="s">
        <v>33</v>
      </c>
      <c r="C25" s="133">
        <v>107340</v>
      </c>
      <c r="D25" s="148">
        <v>94907.56</v>
      </c>
      <c r="E25" s="147">
        <f t="shared" si="2"/>
        <v>0.88417700763927709</v>
      </c>
      <c r="F25" s="149">
        <f>79400+943.27</f>
        <v>80343.27</v>
      </c>
      <c r="G25" s="149">
        <v>0</v>
      </c>
      <c r="H25" s="149">
        <v>0</v>
      </c>
      <c r="I25" s="147">
        <f t="shared" si="3"/>
        <v>0.74849329234209061</v>
      </c>
      <c r="J25" s="149">
        <v>0</v>
      </c>
      <c r="K25" s="149">
        <v>0</v>
      </c>
      <c r="L25" s="149">
        <v>14564.29</v>
      </c>
      <c r="M25" s="142">
        <v>0</v>
      </c>
      <c r="N25" s="53">
        <f>SUBTOTAL(9,F25:M25)</f>
        <v>94908.308493292338</v>
      </c>
    </row>
    <row r="26" spans="1:14" ht="27" customHeight="1" x14ac:dyDescent="0.25">
      <c r="A26" s="111">
        <v>9</v>
      </c>
      <c r="B26" s="46" t="s">
        <v>30</v>
      </c>
      <c r="C26" s="132">
        <v>155063.82999999999</v>
      </c>
      <c r="D26" s="52">
        <v>76879.240000000005</v>
      </c>
      <c r="E26" s="147">
        <f t="shared" si="2"/>
        <v>0.49579092687185666</v>
      </c>
      <c r="F26" s="53">
        <v>11019.09</v>
      </c>
      <c r="G26" s="53">
        <v>0</v>
      </c>
      <c r="H26" s="53">
        <v>0</v>
      </c>
      <c r="I26" s="147">
        <f t="shared" si="3"/>
        <v>7.1061639584163505E-2</v>
      </c>
      <c r="J26" s="53">
        <v>59998.15</v>
      </c>
      <c r="K26" s="53">
        <v>5860.93</v>
      </c>
      <c r="L26" s="53">
        <v>0</v>
      </c>
      <c r="M26" s="142">
        <v>0</v>
      </c>
      <c r="N26" s="53">
        <f>SUBTOTAL(9,F26:M26)</f>
        <v>76878.241061639594</v>
      </c>
    </row>
    <row r="27" spans="1:14" ht="27" customHeight="1" x14ac:dyDescent="0.25">
      <c r="A27" s="292" t="s">
        <v>25</v>
      </c>
      <c r="B27" s="293"/>
      <c r="C27" s="143">
        <f>SUM(C18:C26)</f>
        <v>15309301.74</v>
      </c>
      <c r="D27" s="144">
        <f>SUBTOTAL(9,D18:D26)</f>
        <v>12713953.210000001</v>
      </c>
      <c r="E27" s="146">
        <f t="shared" si="2"/>
        <v>0.83047244256614938</v>
      </c>
      <c r="F27" s="145">
        <f>SUM(F18:F26)</f>
        <v>8108582.3599999994</v>
      </c>
      <c r="G27" s="145">
        <f t="shared" ref="G27:L27" si="4">SUM(G18:G26)</f>
        <v>149281.73000000001</v>
      </c>
      <c r="H27" s="145">
        <f t="shared" si="4"/>
        <v>1828899.7400000002</v>
      </c>
      <c r="I27" s="146">
        <f t="shared" si="3"/>
        <v>0.65886504827619918</v>
      </c>
      <c r="J27" s="145">
        <f t="shared" si="4"/>
        <v>1822122.6099999999</v>
      </c>
      <c r="K27" s="145">
        <f>SUM(K18:K26)</f>
        <v>576765.39</v>
      </c>
      <c r="L27" s="145">
        <f t="shared" si="4"/>
        <v>270173.07</v>
      </c>
      <c r="M27" s="145">
        <f t="shared" ref="M27" si="5">SUBTOTAL(9,M18:M26)</f>
        <v>190611.4</v>
      </c>
      <c r="N27" s="145">
        <f>N18+N19+N20+N21+N22+N23+N24+N25+N26</f>
        <v>12755829.353570595</v>
      </c>
    </row>
    <row r="28" spans="1:14" x14ac:dyDescent="0.25">
      <c r="D28" s="142">
        <f>D27*0.12</f>
        <v>1525674.3852000001</v>
      </c>
      <c r="E28" s="140"/>
    </row>
    <row r="29" spans="1:14" x14ac:dyDescent="0.25">
      <c r="D29" s="53">
        <f>D27+D28</f>
        <v>14239627.5952</v>
      </c>
      <c r="E29" s="140"/>
      <c r="F29" s="137"/>
    </row>
  </sheetData>
  <mergeCells count="25">
    <mergeCell ref="A27:B27"/>
    <mergeCell ref="A14:B14"/>
    <mergeCell ref="A15:N15"/>
    <mergeCell ref="A16:A17"/>
    <mergeCell ref="B16:B17"/>
    <mergeCell ref="D16:D17"/>
    <mergeCell ref="L16:L17"/>
    <mergeCell ref="M16:M17"/>
    <mergeCell ref="N16:N17"/>
    <mergeCell ref="C16:C17"/>
    <mergeCell ref="F16:H16"/>
    <mergeCell ref="J16:K16"/>
    <mergeCell ref="E16:E17"/>
    <mergeCell ref="I16:I17"/>
    <mergeCell ref="A2:N2"/>
    <mergeCell ref="A3:A4"/>
    <mergeCell ref="B3:B4"/>
    <mergeCell ref="D3:D4"/>
    <mergeCell ref="F3:F4"/>
    <mergeCell ref="G3:G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7"/>
  <sheetViews>
    <sheetView zoomScaleNormal="100" workbookViewId="0">
      <selection activeCell="A72" sqref="A72"/>
    </sheetView>
  </sheetViews>
  <sheetFormatPr baseColWidth="10" defaultRowHeight="15" x14ac:dyDescent="0.25"/>
  <cols>
    <col min="1" max="1" width="6" customWidth="1"/>
    <col min="2" max="2" width="9.42578125" customWidth="1"/>
    <col min="3" max="3" width="12.5703125" customWidth="1"/>
    <col min="4" max="8" width="12.7109375" customWidth="1"/>
    <col min="9" max="9" width="13.5703125" customWidth="1"/>
    <col min="10" max="12" width="12.7109375" hidden="1" customWidth="1"/>
    <col min="13" max="13" width="12.7109375" customWidth="1"/>
    <col min="16" max="16" width="24.140625" customWidth="1"/>
    <col min="17" max="17" width="14.85546875" customWidth="1"/>
    <col min="18" max="18" width="17.7109375" customWidth="1"/>
  </cols>
  <sheetData>
    <row r="2" spans="1:18" ht="23.25" x14ac:dyDescent="0.25">
      <c r="A2" s="281" t="s">
        <v>36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91"/>
    </row>
    <row r="3" spans="1:18" ht="20.25" customHeight="1" x14ac:dyDescent="0.25">
      <c r="A3" s="280" t="s">
        <v>23</v>
      </c>
      <c r="B3" s="280" t="s">
        <v>37</v>
      </c>
      <c r="C3" s="283" t="s">
        <v>72</v>
      </c>
      <c r="D3" s="280" t="s">
        <v>192</v>
      </c>
      <c r="E3" s="280" t="s">
        <v>193</v>
      </c>
      <c r="F3" s="280" t="s">
        <v>74</v>
      </c>
      <c r="G3" s="280" t="s">
        <v>73</v>
      </c>
      <c r="H3" s="280" t="s">
        <v>194</v>
      </c>
      <c r="I3" s="280" t="s">
        <v>195</v>
      </c>
      <c r="J3" s="91"/>
      <c r="K3" s="91"/>
      <c r="L3" s="92"/>
      <c r="M3" s="289" t="s">
        <v>25</v>
      </c>
    </row>
    <row r="4" spans="1:18" ht="20.25" customHeight="1" x14ac:dyDescent="0.25">
      <c r="A4" s="280"/>
      <c r="B4" s="280"/>
      <c r="C4" s="284"/>
      <c r="D4" s="280"/>
      <c r="E4" s="280"/>
      <c r="F4" s="280"/>
      <c r="G4" s="280"/>
      <c r="H4" s="280"/>
      <c r="I4" s="280"/>
      <c r="J4" s="45" t="s">
        <v>79</v>
      </c>
      <c r="K4" s="45" t="s">
        <v>80</v>
      </c>
      <c r="L4" s="43" t="s">
        <v>81</v>
      </c>
      <c r="M4" s="290"/>
    </row>
    <row r="5" spans="1:18" x14ac:dyDescent="0.25">
      <c r="A5" s="46">
        <v>1</v>
      </c>
      <c r="B5" s="46" t="s">
        <v>29</v>
      </c>
      <c r="C5" s="99">
        <v>39</v>
      </c>
      <c r="D5" s="104">
        <v>3</v>
      </c>
      <c r="E5" s="104">
        <v>2</v>
      </c>
      <c r="F5" s="104">
        <v>13</v>
      </c>
      <c r="G5" s="104">
        <v>1</v>
      </c>
      <c r="H5" s="104">
        <v>3</v>
      </c>
      <c r="I5" s="105">
        <v>0</v>
      </c>
      <c r="J5" s="55"/>
      <c r="K5" s="55"/>
      <c r="L5" s="54"/>
      <c r="M5" s="58">
        <f>SUBTOTAL(9,D5:H5)</f>
        <v>22</v>
      </c>
    </row>
    <row r="6" spans="1:18" x14ac:dyDescent="0.25">
      <c r="A6" s="49">
        <v>2</v>
      </c>
      <c r="B6" s="49" t="s">
        <v>28</v>
      </c>
      <c r="C6" s="100">
        <v>15</v>
      </c>
      <c r="D6" s="106">
        <v>2</v>
      </c>
      <c r="E6" s="106">
        <v>1</v>
      </c>
      <c r="F6" s="106">
        <v>4</v>
      </c>
      <c r="G6" s="106">
        <v>0</v>
      </c>
      <c r="H6" s="106">
        <v>0</v>
      </c>
      <c r="I6" s="105">
        <v>2</v>
      </c>
      <c r="J6" s="55"/>
      <c r="K6" s="55"/>
      <c r="L6" s="54"/>
      <c r="M6" s="58">
        <f t="shared" ref="M6:M13" si="0">SUBTOTAL(9,D6:H6)</f>
        <v>7</v>
      </c>
    </row>
    <row r="7" spans="1:18" ht="30" customHeight="1" x14ac:dyDescent="0.25">
      <c r="A7" s="46">
        <v>3</v>
      </c>
      <c r="B7" s="46" t="s">
        <v>21</v>
      </c>
      <c r="C7" s="99">
        <v>7</v>
      </c>
      <c r="D7" s="104">
        <v>0</v>
      </c>
      <c r="E7" s="104">
        <v>0</v>
      </c>
      <c r="F7" s="104">
        <v>2</v>
      </c>
      <c r="G7" s="104">
        <v>0</v>
      </c>
      <c r="H7" s="104">
        <v>0</v>
      </c>
      <c r="I7" s="105">
        <v>1</v>
      </c>
      <c r="J7" s="55"/>
      <c r="K7" s="55"/>
      <c r="L7" s="54"/>
      <c r="M7" s="58">
        <f t="shared" si="0"/>
        <v>2</v>
      </c>
      <c r="P7" s="299" t="s">
        <v>196</v>
      </c>
      <c r="Q7" s="299"/>
      <c r="R7" s="299"/>
    </row>
    <row r="8" spans="1:18" ht="24.75" customHeight="1" x14ac:dyDescent="0.25">
      <c r="A8" s="49">
        <v>4</v>
      </c>
      <c r="B8" s="49" t="s">
        <v>32</v>
      </c>
      <c r="C8" s="100">
        <v>9</v>
      </c>
      <c r="D8" s="106">
        <v>2</v>
      </c>
      <c r="E8" s="106">
        <v>2</v>
      </c>
      <c r="F8" s="106">
        <v>2</v>
      </c>
      <c r="G8" s="106">
        <v>1</v>
      </c>
      <c r="H8" s="106">
        <v>0</v>
      </c>
      <c r="I8" s="105">
        <v>0</v>
      </c>
      <c r="J8" s="55"/>
      <c r="K8" s="55"/>
      <c r="L8" s="54"/>
      <c r="M8" s="58">
        <f t="shared" si="0"/>
        <v>7</v>
      </c>
      <c r="P8" s="107" t="s">
        <v>200</v>
      </c>
      <c r="Q8" s="107" t="s">
        <v>201</v>
      </c>
      <c r="R8" s="107" t="s">
        <v>202</v>
      </c>
    </row>
    <row r="9" spans="1:18" ht="23.25" customHeight="1" x14ac:dyDescent="0.25">
      <c r="A9" s="46">
        <v>5</v>
      </c>
      <c r="B9" s="46" t="s">
        <v>31</v>
      </c>
      <c r="C9" s="99">
        <v>16</v>
      </c>
      <c r="D9" s="104">
        <v>0</v>
      </c>
      <c r="E9" s="104">
        <v>1</v>
      </c>
      <c r="F9" s="104">
        <v>1</v>
      </c>
      <c r="G9" s="104">
        <v>1</v>
      </c>
      <c r="H9" s="104">
        <v>0</v>
      </c>
      <c r="I9" s="105">
        <v>1</v>
      </c>
      <c r="J9" s="55"/>
      <c r="K9" s="55"/>
      <c r="L9" s="54"/>
      <c r="M9" s="58">
        <f t="shared" si="0"/>
        <v>3</v>
      </c>
      <c r="P9" s="65" t="s">
        <v>199</v>
      </c>
      <c r="Q9" s="65">
        <v>59</v>
      </c>
      <c r="R9" s="108">
        <v>8041930.8300000001</v>
      </c>
    </row>
    <row r="10" spans="1:18" ht="23.25" customHeight="1" x14ac:dyDescent="0.25">
      <c r="A10" s="49">
        <v>6</v>
      </c>
      <c r="B10" s="49" t="s">
        <v>34</v>
      </c>
      <c r="C10" s="100">
        <v>15</v>
      </c>
      <c r="D10" s="106">
        <v>0</v>
      </c>
      <c r="E10" s="106">
        <v>2</v>
      </c>
      <c r="F10" s="106">
        <v>7</v>
      </c>
      <c r="G10" s="106">
        <v>1</v>
      </c>
      <c r="H10" s="106">
        <v>2</v>
      </c>
      <c r="I10" s="105">
        <v>0</v>
      </c>
      <c r="J10" s="55"/>
      <c r="K10" s="55"/>
      <c r="L10" s="54"/>
      <c r="M10" s="58">
        <f t="shared" si="0"/>
        <v>12</v>
      </c>
      <c r="P10" s="65" t="s">
        <v>197</v>
      </c>
      <c r="Q10" s="65">
        <v>47</v>
      </c>
      <c r="R10" s="108">
        <v>198016.26</v>
      </c>
    </row>
    <row r="11" spans="1:18" ht="23.25" customHeight="1" x14ac:dyDescent="0.25">
      <c r="A11" s="46">
        <v>7</v>
      </c>
      <c r="B11" s="46" t="s">
        <v>35</v>
      </c>
      <c r="C11" s="99">
        <v>2</v>
      </c>
      <c r="D11" s="104">
        <v>0</v>
      </c>
      <c r="E11" s="104">
        <v>0</v>
      </c>
      <c r="F11" s="104">
        <v>2</v>
      </c>
      <c r="G11" s="104">
        <v>0</v>
      </c>
      <c r="H11" s="104">
        <v>0</v>
      </c>
      <c r="I11" s="105">
        <v>0</v>
      </c>
      <c r="J11" s="55"/>
      <c r="K11" s="55"/>
      <c r="L11" s="54"/>
      <c r="M11" s="58">
        <f t="shared" si="0"/>
        <v>2</v>
      </c>
      <c r="P11" s="65" t="s">
        <v>198</v>
      </c>
      <c r="Q11" s="65">
        <v>2</v>
      </c>
      <c r="R11" s="108">
        <v>24000.63</v>
      </c>
    </row>
    <row r="12" spans="1:18" ht="23.25" customHeight="1" x14ac:dyDescent="0.25">
      <c r="A12" s="49">
        <v>8</v>
      </c>
      <c r="B12" s="49" t="s">
        <v>33</v>
      </c>
      <c r="C12" s="100">
        <v>3</v>
      </c>
      <c r="D12" s="106">
        <v>0</v>
      </c>
      <c r="E12" s="106">
        <v>1</v>
      </c>
      <c r="F12" s="106">
        <v>1</v>
      </c>
      <c r="G12" s="106">
        <v>0</v>
      </c>
      <c r="H12" s="106">
        <v>1</v>
      </c>
      <c r="I12" s="105">
        <v>0</v>
      </c>
      <c r="J12" s="55"/>
      <c r="K12" s="55"/>
      <c r="L12" s="54"/>
      <c r="M12" s="58">
        <f t="shared" si="0"/>
        <v>3</v>
      </c>
      <c r="P12" s="65" t="s">
        <v>203</v>
      </c>
      <c r="Q12" s="65">
        <v>8</v>
      </c>
      <c r="R12" s="108">
        <v>2455571.2999999998</v>
      </c>
    </row>
    <row r="13" spans="1:18" ht="23.25" customHeight="1" x14ac:dyDescent="0.25">
      <c r="A13" s="46">
        <v>9</v>
      </c>
      <c r="B13" s="46" t="s">
        <v>30</v>
      </c>
      <c r="C13" s="99">
        <v>3</v>
      </c>
      <c r="D13" s="104"/>
      <c r="E13" s="104"/>
      <c r="F13" s="104"/>
      <c r="G13" s="104">
        <v>1</v>
      </c>
      <c r="H13" s="104"/>
      <c r="I13" s="105">
        <v>0</v>
      </c>
      <c r="J13" s="55"/>
      <c r="K13" s="55"/>
      <c r="L13" s="54"/>
      <c r="M13" s="58">
        <f t="shared" si="0"/>
        <v>1</v>
      </c>
      <c r="P13" s="66" t="s">
        <v>25</v>
      </c>
      <c r="Q13" s="109">
        <f>SUM(Q9:Q12)</f>
        <v>116</v>
      </c>
      <c r="R13" s="110">
        <f>SUM(R9:R12)</f>
        <v>10719519.02</v>
      </c>
    </row>
    <row r="14" spans="1:18" x14ac:dyDescent="0.25">
      <c r="A14" s="287" t="s">
        <v>25</v>
      </c>
      <c r="B14" s="288"/>
      <c r="C14" s="101">
        <f>SUBTOTAL(9,C5:C13)</f>
        <v>109</v>
      </c>
      <c r="D14" s="62">
        <f t="shared" ref="D14:L14" si="1">SUBTOTAL(9,D5:D13)</f>
        <v>7</v>
      </c>
      <c r="E14" s="62">
        <f t="shared" ref="E14:G14" si="2">SUBTOTAL(9,E5:E13)</f>
        <v>9</v>
      </c>
      <c r="F14" s="62">
        <f t="shared" si="2"/>
        <v>32</v>
      </c>
      <c r="G14" s="95">
        <f t="shared" si="2"/>
        <v>5</v>
      </c>
      <c r="H14" s="62">
        <f t="shared" ref="H14:I14" si="3">SUBTOTAL(9,H5:H13)</f>
        <v>6</v>
      </c>
      <c r="I14" s="62">
        <f t="shared" si="3"/>
        <v>4</v>
      </c>
      <c r="J14" s="62">
        <f t="shared" si="1"/>
        <v>0</v>
      </c>
      <c r="K14" s="62">
        <f t="shared" si="1"/>
        <v>0</v>
      </c>
      <c r="L14" s="62">
        <f t="shared" si="1"/>
        <v>0</v>
      </c>
      <c r="M14" s="58">
        <f>M5+M6+M7+M8+M9+M10+M11+M12+M13</f>
        <v>59</v>
      </c>
    </row>
    <row r="15" spans="1:18" x14ac:dyDescent="0.25">
      <c r="A15" s="38"/>
      <c r="B15" s="38"/>
      <c r="C15" s="39"/>
      <c r="D15" s="39"/>
      <c r="E15" s="39"/>
      <c r="F15" s="39"/>
      <c r="G15" s="39"/>
      <c r="H15" s="42"/>
      <c r="I15" s="42"/>
      <c r="J15" s="40"/>
      <c r="K15" s="40"/>
      <c r="L15" s="41"/>
      <c r="M15" s="3"/>
    </row>
    <row r="16" spans="1:18" ht="23.25" x14ac:dyDescent="0.25">
      <c r="A16" s="281" t="s">
        <v>36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91"/>
    </row>
    <row r="17" spans="1:17" ht="15" customHeight="1" x14ac:dyDescent="0.25">
      <c r="A17" s="280" t="s">
        <v>23</v>
      </c>
      <c r="B17" s="280" t="s">
        <v>37</v>
      </c>
      <c r="C17" s="283" t="s">
        <v>72</v>
      </c>
      <c r="D17" s="280" t="s">
        <v>192</v>
      </c>
      <c r="E17" s="280" t="s">
        <v>193</v>
      </c>
      <c r="F17" s="280" t="s">
        <v>74</v>
      </c>
      <c r="G17" s="280" t="s">
        <v>73</v>
      </c>
      <c r="H17" s="280" t="s">
        <v>194</v>
      </c>
      <c r="I17" s="280" t="s">
        <v>195</v>
      </c>
      <c r="J17" s="93"/>
      <c r="K17" s="93"/>
      <c r="L17" s="94"/>
      <c r="M17" s="289" t="s">
        <v>25</v>
      </c>
      <c r="Q17" s="103"/>
    </row>
    <row r="18" spans="1:17" x14ac:dyDescent="0.25">
      <c r="A18" s="280"/>
      <c r="B18" s="280"/>
      <c r="C18" s="284"/>
      <c r="D18" s="280"/>
      <c r="E18" s="280"/>
      <c r="F18" s="280"/>
      <c r="G18" s="280"/>
      <c r="H18" s="280"/>
      <c r="I18" s="280"/>
      <c r="J18" s="45" t="s">
        <v>79</v>
      </c>
      <c r="K18" s="45" t="s">
        <v>80</v>
      </c>
      <c r="L18" s="63" t="s">
        <v>81</v>
      </c>
      <c r="M18" s="290"/>
    </row>
    <row r="19" spans="1:17" x14ac:dyDescent="0.25">
      <c r="A19" s="46">
        <v>1</v>
      </c>
      <c r="B19" s="46" t="s">
        <v>29</v>
      </c>
      <c r="C19" s="96">
        <v>6599528.9800000004</v>
      </c>
      <c r="D19" s="48">
        <v>637273.16</v>
      </c>
      <c r="E19" s="48">
        <v>475372.6</v>
      </c>
      <c r="F19" s="48">
        <v>1713038.94</v>
      </c>
      <c r="G19" s="48">
        <v>872779.86</v>
      </c>
      <c r="H19" s="48">
        <v>12768.13</v>
      </c>
      <c r="I19" s="102">
        <v>0</v>
      </c>
      <c r="J19" s="48"/>
      <c r="K19" s="48"/>
      <c r="L19" s="48"/>
      <c r="M19" s="48">
        <f>SUBTOTAL(9,D19:L19)</f>
        <v>3711232.69</v>
      </c>
    </row>
    <row r="20" spans="1:17" x14ac:dyDescent="0.25">
      <c r="A20" s="49">
        <v>2</v>
      </c>
      <c r="B20" s="49" t="s">
        <v>28</v>
      </c>
      <c r="C20" s="97">
        <v>2971673.89</v>
      </c>
      <c r="D20" s="51">
        <v>35975.5</v>
      </c>
      <c r="E20" s="51">
        <v>75000</v>
      </c>
      <c r="F20" s="51">
        <v>2576964.58</v>
      </c>
      <c r="G20" s="51">
        <v>0</v>
      </c>
      <c r="H20" s="51">
        <v>0</v>
      </c>
      <c r="I20" s="102">
        <v>42531.4</v>
      </c>
      <c r="J20" s="48"/>
      <c r="K20" s="48"/>
      <c r="L20" s="48"/>
      <c r="M20" s="48">
        <f>(SUBTOTAL(9,D20:H20))-I20</f>
        <v>2645408.6800000002</v>
      </c>
    </row>
    <row r="21" spans="1:17" x14ac:dyDescent="0.25">
      <c r="A21" s="46">
        <v>3</v>
      </c>
      <c r="B21" s="46" t="s">
        <v>21</v>
      </c>
      <c r="C21" s="96">
        <v>538486.41</v>
      </c>
      <c r="D21" s="48">
        <v>0</v>
      </c>
      <c r="E21" s="48">
        <v>0</v>
      </c>
      <c r="F21" s="48">
        <v>555652.93999999994</v>
      </c>
      <c r="G21" s="48">
        <v>0</v>
      </c>
      <c r="H21" s="48">
        <v>0</v>
      </c>
      <c r="I21" s="102">
        <v>60000</v>
      </c>
      <c r="J21" s="48"/>
      <c r="K21" s="48"/>
      <c r="L21" s="48"/>
      <c r="M21" s="48">
        <f>SUBTOTAL(9,D21:L21)</f>
        <v>615652.93999999994</v>
      </c>
    </row>
    <row r="22" spans="1:17" x14ac:dyDescent="0.25">
      <c r="A22" s="49">
        <v>4</v>
      </c>
      <c r="B22" s="49" t="s">
        <v>32</v>
      </c>
      <c r="C22" s="97">
        <v>483253.74</v>
      </c>
      <c r="D22" s="51">
        <v>17857.14</v>
      </c>
      <c r="E22" s="51">
        <v>180935.71</v>
      </c>
      <c r="F22" s="51">
        <v>99401.25</v>
      </c>
      <c r="G22" s="51">
        <v>179733.93</v>
      </c>
      <c r="H22" s="51">
        <v>0</v>
      </c>
      <c r="I22" s="102">
        <v>0</v>
      </c>
      <c r="J22" s="48"/>
      <c r="K22" s="48"/>
      <c r="L22" s="48"/>
      <c r="M22" s="48">
        <f>SUBTOTAL(9,D22:L22)</f>
        <v>477928.02999999997</v>
      </c>
    </row>
    <row r="23" spans="1:17" x14ac:dyDescent="0.25">
      <c r="A23" s="46">
        <v>5</v>
      </c>
      <c r="B23" s="46" t="s">
        <v>31</v>
      </c>
      <c r="C23" s="96">
        <v>242706.72</v>
      </c>
      <c r="D23" s="48">
        <v>0</v>
      </c>
      <c r="E23" s="48">
        <v>29017.57</v>
      </c>
      <c r="F23" s="48">
        <v>190840</v>
      </c>
      <c r="G23" s="48">
        <v>48280.36</v>
      </c>
      <c r="H23" s="48">
        <v>0</v>
      </c>
      <c r="I23" s="102">
        <v>88080</v>
      </c>
      <c r="J23" s="48"/>
      <c r="K23" s="48"/>
      <c r="L23" s="48"/>
      <c r="M23" s="48">
        <f>(SUBTOTAL(9,D23:H23))-I23</f>
        <v>180057.93</v>
      </c>
    </row>
    <row r="24" spans="1:17" x14ac:dyDescent="0.25">
      <c r="A24" s="49">
        <v>6</v>
      </c>
      <c r="B24" s="49" t="s">
        <v>34</v>
      </c>
      <c r="C24" s="97">
        <v>218397.56</v>
      </c>
      <c r="D24" s="51">
        <v>0</v>
      </c>
      <c r="E24" s="51">
        <v>25464.95</v>
      </c>
      <c r="F24" s="51">
        <v>155284.10999999999</v>
      </c>
      <c r="G24" s="51">
        <v>9764.84</v>
      </c>
      <c r="H24" s="51">
        <v>3991.22</v>
      </c>
      <c r="I24" s="102"/>
      <c r="J24" s="48"/>
      <c r="K24" s="48"/>
      <c r="L24" s="48"/>
      <c r="M24" s="48">
        <f>SUBTOTAL(9,D24:L24)</f>
        <v>194505.12</v>
      </c>
    </row>
    <row r="25" spans="1:17" x14ac:dyDescent="0.25">
      <c r="A25" s="46">
        <v>7</v>
      </c>
      <c r="B25" s="46" t="s">
        <v>35</v>
      </c>
      <c r="C25" s="96">
        <v>101500</v>
      </c>
      <c r="D25" s="48">
        <v>0</v>
      </c>
      <c r="E25" s="48">
        <v>0</v>
      </c>
      <c r="F25" s="48">
        <v>101500</v>
      </c>
      <c r="G25" s="48">
        <v>0</v>
      </c>
      <c r="H25" s="48">
        <v>0</v>
      </c>
      <c r="I25" s="102">
        <v>0</v>
      </c>
      <c r="J25" s="48"/>
      <c r="K25" s="48"/>
      <c r="L25" s="48"/>
      <c r="M25" s="48">
        <f>SUBTOTAL(9,D25:L25)</f>
        <v>101500</v>
      </c>
    </row>
    <row r="26" spans="1:17" x14ac:dyDescent="0.25">
      <c r="A26" s="49">
        <v>8</v>
      </c>
      <c r="B26" s="49" t="s">
        <v>33</v>
      </c>
      <c r="C26" s="97">
        <v>94907.56</v>
      </c>
      <c r="D26" s="51">
        <v>0</v>
      </c>
      <c r="E26" s="51">
        <v>60900</v>
      </c>
      <c r="F26" s="51">
        <v>27000</v>
      </c>
      <c r="G26" s="51">
        <v>0</v>
      </c>
      <c r="H26" s="51">
        <v>6064.29</v>
      </c>
      <c r="I26" s="102">
        <v>0</v>
      </c>
      <c r="J26" s="48"/>
      <c r="K26" s="48"/>
      <c r="L26" s="48"/>
      <c r="M26" s="48">
        <f>SUBTOTAL(9,D26:L26)</f>
        <v>93964.29</v>
      </c>
    </row>
    <row r="27" spans="1:17" x14ac:dyDescent="0.25">
      <c r="A27" s="46">
        <v>9</v>
      </c>
      <c r="B27" s="46" t="s">
        <v>30</v>
      </c>
      <c r="C27" s="96">
        <v>32700.240000000002</v>
      </c>
      <c r="D27" s="48">
        <v>0</v>
      </c>
      <c r="E27" s="48">
        <v>0</v>
      </c>
      <c r="F27" s="48">
        <v>0</v>
      </c>
      <c r="G27" s="48">
        <v>21681.15</v>
      </c>
      <c r="H27" s="48">
        <v>0</v>
      </c>
      <c r="I27" s="102">
        <v>0</v>
      </c>
      <c r="J27" s="48"/>
      <c r="K27" s="48"/>
      <c r="L27" s="48"/>
      <c r="M27" s="48">
        <f>SUBTOTAL(9,D27:L27)</f>
        <v>21681.15</v>
      </c>
    </row>
    <row r="28" spans="1:17" x14ac:dyDescent="0.25">
      <c r="A28" s="287" t="s">
        <v>25</v>
      </c>
      <c r="B28" s="288"/>
      <c r="C28" s="98">
        <f>SUBTOTAL(9,C19:C27)</f>
        <v>11283155.100000003</v>
      </c>
      <c r="D28" s="53">
        <f t="shared" ref="D28:L28" si="4">SUBTOTAL(9,D19:D27)</f>
        <v>691105.8</v>
      </c>
      <c r="E28" s="53">
        <f t="shared" si="4"/>
        <v>846690.82999999984</v>
      </c>
      <c r="F28" s="53">
        <f t="shared" si="4"/>
        <v>5419681.8199999994</v>
      </c>
      <c r="G28" s="53">
        <f t="shared" si="4"/>
        <v>1132240.1400000001</v>
      </c>
      <c r="H28" s="53">
        <f t="shared" si="4"/>
        <v>22823.64</v>
      </c>
      <c r="I28" s="53">
        <f t="shared" ref="I28" si="5">SUBTOTAL(9,I19:I27)</f>
        <v>190611.4</v>
      </c>
      <c r="J28" s="53">
        <f t="shared" si="4"/>
        <v>0</v>
      </c>
      <c r="K28" s="53">
        <f t="shared" si="4"/>
        <v>0</v>
      </c>
      <c r="L28" s="53">
        <f t="shared" si="4"/>
        <v>0</v>
      </c>
      <c r="M28" s="53">
        <f>M19+M20+M21+M22+M23+M24+M25+M26+M27</f>
        <v>8041930.830000001</v>
      </c>
    </row>
    <row r="31" spans="1:17" x14ac:dyDescent="0.25">
      <c r="B31" s="297" t="s">
        <v>85</v>
      </c>
      <c r="C31" s="297"/>
      <c r="D31" s="297"/>
      <c r="E31" s="64"/>
      <c r="F31" s="64"/>
    </row>
    <row r="32" spans="1:17" x14ac:dyDescent="0.25">
      <c r="B32" s="296" t="s">
        <v>86</v>
      </c>
      <c r="C32" s="296"/>
      <c r="D32" s="296"/>
      <c r="E32" s="64"/>
      <c r="F32" s="64"/>
    </row>
    <row r="33" spans="1:13" x14ac:dyDescent="0.25">
      <c r="B33" s="280" t="s">
        <v>37</v>
      </c>
      <c r="C33" s="283" t="s">
        <v>83</v>
      </c>
      <c r="D33" s="280" t="s">
        <v>84</v>
      </c>
    </row>
    <row r="34" spans="1:13" x14ac:dyDescent="0.25">
      <c r="B34" s="280"/>
      <c r="C34" s="284"/>
      <c r="D34" s="280"/>
    </row>
    <row r="35" spans="1:13" x14ac:dyDescent="0.25">
      <c r="B35" s="65" t="s">
        <v>28</v>
      </c>
      <c r="C35" s="67">
        <v>1</v>
      </c>
      <c r="D35" s="48">
        <v>60000</v>
      </c>
    </row>
    <row r="36" spans="1:13" x14ac:dyDescent="0.25">
      <c r="B36" s="65" t="s">
        <v>31</v>
      </c>
      <c r="C36" s="67">
        <v>1</v>
      </c>
      <c r="D36" s="48">
        <v>102760</v>
      </c>
    </row>
    <row r="37" spans="1:13" x14ac:dyDescent="0.25">
      <c r="B37" s="65" t="s">
        <v>21</v>
      </c>
      <c r="C37" s="67">
        <v>1</v>
      </c>
      <c r="D37" s="48">
        <v>190000</v>
      </c>
    </row>
    <row r="38" spans="1:13" x14ac:dyDescent="0.25">
      <c r="B38" s="66" t="s">
        <v>25</v>
      </c>
      <c r="C38" s="68">
        <f>SUM(C35:C37)</f>
        <v>3</v>
      </c>
      <c r="D38" s="69">
        <f>SUM(D35:D37)</f>
        <v>352760</v>
      </c>
    </row>
    <row r="41" spans="1:13" ht="23.25" x14ac:dyDescent="0.25">
      <c r="A41" s="281" t="s">
        <v>36</v>
      </c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91"/>
    </row>
    <row r="42" spans="1:13" x14ac:dyDescent="0.25">
      <c r="A42" s="280" t="s">
        <v>23</v>
      </c>
      <c r="B42" s="280" t="s">
        <v>37</v>
      </c>
      <c r="C42" s="283" t="s">
        <v>72</v>
      </c>
      <c r="D42" s="280" t="s">
        <v>73</v>
      </c>
      <c r="E42" s="283" t="s">
        <v>74</v>
      </c>
      <c r="F42" s="298"/>
      <c r="G42" s="298"/>
      <c r="H42" s="298"/>
      <c r="I42" s="298"/>
      <c r="J42" s="298"/>
      <c r="K42" s="298"/>
      <c r="L42" s="298"/>
      <c r="M42" s="289" t="s">
        <v>25</v>
      </c>
    </row>
    <row r="43" spans="1:13" x14ac:dyDescent="0.25">
      <c r="A43" s="280"/>
      <c r="B43" s="280"/>
      <c r="C43" s="284"/>
      <c r="D43" s="280"/>
      <c r="E43" s="43" t="s">
        <v>75</v>
      </c>
      <c r="F43" s="44" t="s">
        <v>76</v>
      </c>
      <c r="G43" s="44" t="s">
        <v>77</v>
      </c>
      <c r="H43" s="44" t="s">
        <v>78</v>
      </c>
      <c r="I43" s="44" t="s">
        <v>82</v>
      </c>
      <c r="J43" s="45" t="s">
        <v>79</v>
      </c>
      <c r="K43" s="45" t="s">
        <v>80</v>
      </c>
      <c r="L43" s="43" t="s">
        <v>81</v>
      </c>
      <c r="M43" s="290"/>
    </row>
    <row r="44" spans="1:13" x14ac:dyDescent="0.25">
      <c r="A44" s="10">
        <v>1</v>
      </c>
      <c r="B44" s="10" t="s">
        <v>29</v>
      </c>
      <c r="C44" s="36">
        <v>39</v>
      </c>
      <c r="D44" s="11"/>
      <c r="E44" s="55"/>
      <c r="F44" s="56"/>
      <c r="G44" s="56"/>
      <c r="H44" s="56"/>
      <c r="I44" s="57"/>
      <c r="J44" s="55"/>
      <c r="K44" s="55"/>
      <c r="L44" s="54"/>
      <c r="M44" s="58">
        <f t="shared" ref="M44:M52" si="6">SUBTOTAL(9,D44:L44)</f>
        <v>0</v>
      </c>
    </row>
    <row r="45" spans="1:13" x14ac:dyDescent="0.25">
      <c r="A45" s="12">
        <v>2</v>
      </c>
      <c r="B45" s="12" t="s">
        <v>28</v>
      </c>
      <c r="C45" s="37">
        <v>15</v>
      </c>
      <c r="D45" s="13"/>
      <c r="E45" s="59"/>
      <c r="F45" s="59"/>
      <c r="G45" s="59"/>
      <c r="H45" s="59"/>
      <c r="I45" s="60"/>
      <c r="J45" s="55"/>
      <c r="K45" s="55"/>
      <c r="L45" s="54"/>
      <c r="M45" s="58">
        <f t="shared" si="6"/>
        <v>0</v>
      </c>
    </row>
    <row r="46" spans="1:13" x14ac:dyDescent="0.25">
      <c r="A46" s="10">
        <v>3</v>
      </c>
      <c r="B46" s="10" t="s">
        <v>21</v>
      </c>
      <c r="C46" s="36">
        <v>7</v>
      </c>
      <c r="D46" s="11"/>
      <c r="E46" s="56"/>
      <c r="F46" s="56"/>
      <c r="G46" s="56"/>
      <c r="H46" s="56"/>
      <c r="I46" s="57"/>
      <c r="J46" s="55"/>
      <c r="K46" s="55"/>
      <c r="L46" s="54"/>
      <c r="M46" s="58">
        <f t="shared" si="6"/>
        <v>0</v>
      </c>
    </row>
    <row r="47" spans="1:13" x14ac:dyDescent="0.25">
      <c r="A47" s="12">
        <v>4</v>
      </c>
      <c r="B47" s="12" t="s">
        <v>32</v>
      </c>
      <c r="C47" s="37">
        <v>9</v>
      </c>
      <c r="D47" s="13">
        <v>1</v>
      </c>
      <c r="E47" s="59"/>
      <c r="F47" s="59"/>
      <c r="G47" s="59"/>
      <c r="H47" s="59"/>
      <c r="I47" s="60"/>
      <c r="J47" s="55"/>
      <c r="K47" s="55"/>
      <c r="L47" s="54"/>
      <c r="M47" s="58">
        <f t="shared" si="6"/>
        <v>1</v>
      </c>
    </row>
    <row r="48" spans="1:13" x14ac:dyDescent="0.25">
      <c r="A48" s="10">
        <v>5</v>
      </c>
      <c r="B48" s="10" t="s">
        <v>31</v>
      </c>
      <c r="C48" s="36">
        <v>16</v>
      </c>
      <c r="D48" s="11">
        <v>1</v>
      </c>
      <c r="E48" s="56"/>
      <c r="F48" s="56"/>
      <c r="G48" s="56"/>
      <c r="H48" s="56"/>
      <c r="I48" s="57"/>
      <c r="J48" s="55"/>
      <c r="K48" s="55"/>
      <c r="L48" s="54"/>
      <c r="M48" s="58">
        <f t="shared" si="6"/>
        <v>1</v>
      </c>
    </row>
    <row r="49" spans="1:13" x14ac:dyDescent="0.25">
      <c r="A49" s="12">
        <v>6</v>
      </c>
      <c r="B49" s="12" t="s">
        <v>34</v>
      </c>
      <c r="C49" s="37">
        <v>15</v>
      </c>
      <c r="D49" s="13">
        <v>1</v>
      </c>
      <c r="E49" s="59"/>
      <c r="F49" s="59"/>
      <c r="G49" s="59"/>
      <c r="H49" s="59"/>
      <c r="I49" s="60"/>
      <c r="J49" s="55"/>
      <c r="K49" s="55"/>
      <c r="L49" s="54"/>
      <c r="M49" s="58">
        <f t="shared" si="6"/>
        <v>1</v>
      </c>
    </row>
    <row r="50" spans="1:13" x14ac:dyDescent="0.25">
      <c r="A50" s="10">
        <v>7</v>
      </c>
      <c r="B50" s="10" t="s">
        <v>35</v>
      </c>
      <c r="C50" s="36">
        <v>2</v>
      </c>
      <c r="D50" s="11"/>
      <c r="E50" s="56"/>
      <c r="F50" s="56"/>
      <c r="G50" s="56"/>
      <c r="H50" s="56"/>
      <c r="I50" s="57"/>
      <c r="J50" s="55"/>
      <c r="K50" s="55"/>
      <c r="L50" s="54"/>
      <c r="M50" s="58">
        <f t="shared" si="6"/>
        <v>0</v>
      </c>
    </row>
    <row r="51" spans="1:13" x14ac:dyDescent="0.25">
      <c r="A51" s="12">
        <v>8</v>
      </c>
      <c r="B51" s="12" t="s">
        <v>33</v>
      </c>
      <c r="C51" s="37">
        <v>3</v>
      </c>
      <c r="D51" s="13"/>
      <c r="E51" s="59"/>
      <c r="F51" s="59"/>
      <c r="G51" s="59"/>
      <c r="H51" s="59"/>
      <c r="I51" s="60"/>
      <c r="J51" s="55"/>
      <c r="K51" s="55"/>
      <c r="L51" s="54"/>
      <c r="M51" s="58">
        <f t="shared" si="6"/>
        <v>0</v>
      </c>
    </row>
    <row r="52" spans="1:13" x14ac:dyDescent="0.25">
      <c r="A52" s="10">
        <v>9</v>
      </c>
      <c r="B52" s="10" t="s">
        <v>30</v>
      </c>
      <c r="C52" s="36">
        <v>3</v>
      </c>
      <c r="D52" s="11">
        <v>1</v>
      </c>
      <c r="E52" s="56"/>
      <c r="F52" s="56"/>
      <c r="G52" s="56"/>
      <c r="H52" s="56"/>
      <c r="I52" s="57"/>
      <c r="J52" s="55"/>
      <c r="K52" s="55"/>
      <c r="L52" s="54"/>
      <c r="M52" s="58">
        <f t="shared" si="6"/>
        <v>1</v>
      </c>
    </row>
    <row r="53" spans="1:13" x14ac:dyDescent="0.25">
      <c r="A53" s="287" t="s">
        <v>25</v>
      </c>
      <c r="B53" s="288"/>
      <c r="C53" s="61">
        <f>SUBTOTAL(9,C44:C52)</f>
        <v>109</v>
      </c>
      <c r="D53" s="62">
        <f t="shared" ref="D53:L53" si="7">SUBTOTAL(9,D44:D52)</f>
        <v>4</v>
      </c>
      <c r="E53" s="62">
        <f t="shared" si="7"/>
        <v>0</v>
      </c>
      <c r="F53" s="62">
        <f t="shared" si="7"/>
        <v>0</v>
      </c>
      <c r="G53" s="62">
        <f t="shared" si="7"/>
        <v>0</v>
      </c>
      <c r="H53" s="62">
        <f t="shared" si="7"/>
        <v>0</v>
      </c>
      <c r="I53" s="62">
        <f t="shared" si="7"/>
        <v>0</v>
      </c>
      <c r="J53" s="62">
        <f t="shared" si="7"/>
        <v>0</v>
      </c>
      <c r="K53" s="62">
        <f t="shared" si="7"/>
        <v>0</v>
      </c>
      <c r="L53" s="62">
        <f t="shared" si="7"/>
        <v>0</v>
      </c>
      <c r="M53" s="58">
        <f>M44+M45+M46+M47+M48+M49+M50+M51+M52</f>
        <v>4</v>
      </c>
    </row>
    <row r="54" spans="1:13" x14ac:dyDescent="0.25">
      <c r="A54" s="38"/>
      <c r="B54" s="38"/>
      <c r="C54" s="39"/>
      <c r="D54" s="39"/>
      <c r="E54" s="39"/>
      <c r="F54" s="39"/>
      <c r="G54" s="39"/>
      <c r="H54" s="42"/>
      <c r="I54" s="42"/>
      <c r="J54" s="40"/>
      <c r="K54" s="40"/>
      <c r="L54" s="41"/>
      <c r="M54" s="3"/>
    </row>
    <row r="55" spans="1:13" ht="23.25" x14ac:dyDescent="0.25">
      <c r="A55" s="281" t="s">
        <v>36</v>
      </c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91"/>
    </row>
    <row r="56" spans="1:13" x14ac:dyDescent="0.25">
      <c r="A56" s="280" t="s">
        <v>23</v>
      </c>
      <c r="B56" s="280" t="s">
        <v>37</v>
      </c>
      <c r="C56" s="283" t="s">
        <v>72</v>
      </c>
      <c r="D56" s="280" t="s">
        <v>73</v>
      </c>
      <c r="E56" s="283" t="s">
        <v>74</v>
      </c>
      <c r="F56" s="298"/>
      <c r="G56" s="298"/>
      <c r="H56" s="298"/>
      <c r="I56" s="298"/>
      <c r="J56" s="298"/>
      <c r="K56" s="298"/>
      <c r="L56" s="300"/>
      <c r="M56" s="289" t="s">
        <v>25</v>
      </c>
    </row>
    <row r="57" spans="1:13" x14ac:dyDescent="0.25">
      <c r="A57" s="280"/>
      <c r="B57" s="280"/>
      <c r="C57" s="284"/>
      <c r="D57" s="280"/>
      <c r="E57" s="43" t="s">
        <v>75</v>
      </c>
      <c r="F57" s="44" t="s">
        <v>76</v>
      </c>
      <c r="G57" s="44" t="s">
        <v>77</v>
      </c>
      <c r="H57" s="44" t="s">
        <v>78</v>
      </c>
      <c r="I57" s="44" t="s">
        <v>82</v>
      </c>
      <c r="J57" s="45" t="s">
        <v>79</v>
      </c>
      <c r="K57" s="45" t="s">
        <v>80</v>
      </c>
      <c r="L57" s="63" t="s">
        <v>81</v>
      </c>
      <c r="M57" s="290"/>
    </row>
    <row r="58" spans="1:13" x14ac:dyDescent="0.25">
      <c r="A58" s="46">
        <v>1</v>
      </c>
      <c r="B58" s="46" t="s">
        <v>29</v>
      </c>
      <c r="C58" s="47">
        <v>3414024.46</v>
      </c>
      <c r="D58" s="48">
        <v>350522.5</v>
      </c>
      <c r="E58" s="48">
        <v>14817.28</v>
      </c>
      <c r="F58" s="48"/>
      <c r="G58" s="48">
        <v>522396.5</v>
      </c>
      <c r="H58" s="48">
        <v>502011.03</v>
      </c>
      <c r="I58" s="48"/>
      <c r="J58" s="48">
        <v>22368.34</v>
      </c>
      <c r="K58" s="48"/>
      <c r="L58" s="48">
        <v>1936050.58</v>
      </c>
      <c r="M58" s="48">
        <f t="shared" ref="M58:M66" si="8">SUBTOTAL(9,D58:L58)</f>
        <v>3348166.2300000004</v>
      </c>
    </row>
    <row r="59" spans="1:13" x14ac:dyDescent="0.25">
      <c r="A59" s="49">
        <v>2</v>
      </c>
      <c r="B59" s="49" t="s">
        <v>28</v>
      </c>
      <c r="C59" s="50">
        <v>377731.19</v>
      </c>
      <c r="D59" s="51">
        <v>43568</v>
      </c>
      <c r="E59" s="51">
        <v>102360.22</v>
      </c>
      <c r="F59" s="51"/>
      <c r="G59" s="51"/>
      <c r="H59" s="51">
        <v>40292.559999999998</v>
      </c>
      <c r="I59" s="48"/>
      <c r="J59" s="48">
        <v>11530</v>
      </c>
      <c r="K59" s="48">
        <v>42530.81</v>
      </c>
      <c r="L59" s="48"/>
      <c r="M59" s="48">
        <f t="shared" si="8"/>
        <v>240281.59</v>
      </c>
    </row>
    <row r="60" spans="1:13" x14ac:dyDescent="0.25">
      <c r="A60" s="46">
        <v>3</v>
      </c>
      <c r="B60" s="46" t="s">
        <v>21</v>
      </c>
      <c r="C60" s="47">
        <v>543643.36</v>
      </c>
      <c r="D60" s="48">
        <v>348307.48</v>
      </c>
      <c r="E60" s="48"/>
      <c r="F60" s="48"/>
      <c r="G60" s="48"/>
      <c r="H60" s="48"/>
      <c r="I60" s="48"/>
      <c r="J60" s="48">
        <v>5335.38</v>
      </c>
      <c r="K60" s="48"/>
      <c r="L60" s="48"/>
      <c r="M60" s="48">
        <f t="shared" si="8"/>
        <v>353642.86</v>
      </c>
    </row>
    <row r="61" spans="1:13" x14ac:dyDescent="0.25">
      <c r="A61" s="49">
        <v>4</v>
      </c>
      <c r="B61" s="49" t="s">
        <v>32</v>
      </c>
      <c r="C61" s="50">
        <v>525949.98</v>
      </c>
      <c r="D61" s="51">
        <v>202648</v>
      </c>
      <c r="E61" s="51"/>
      <c r="F61" s="51">
        <v>301302</v>
      </c>
      <c r="G61" s="51"/>
      <c r="H61" s="51">
        <v>10000</v>
      </c>
      <c r="I61" s="48">
        <v>10000</v>
      </c>
      <c r="J61" s="48">
        <v>2000</v>
      </c>
      <c r="K61" s="48"/>
      <c r="L61" s="48"/>
      <c r="M61" s="48">
        <f t="shared" si="8"/>
        <v>525950</v>
      </c>
    </row>
    <row r="62" spans="1:13" x14ac:dyDescent="0.25">
      <c r="A62" s="46">
        <v>5</v>
      </c>
      <c r="B62" s="46" t="s">
        <v>31</v>
      </c>
      <c r="C62" s="47">
        <v>169951.25</v>
      </c>
      <c r="D62" s="48">
        <v>32499.68</v>
      </c>
      <c r="E62" s="48"/>
      <c r="F62" s="48"/>
      <c r="G62" s="48"/>
      <c r="H62" s="48"/>
      <c r="I62" s="48"/>
      <c r="J62" s="48">
        <v>34691.58</v>
      </c>
      <c r="K62" s="48"/>
      <c r="L62" s="48"/>
      <c r="M62" s="48">
        <f t="shared" si="8"/>
        <v>67191.260000000009</v>
      </c>
    </row>
    <row r="63" spans="1:13" x14ac:dyDescent="0.25">
      <c r="A63" s="49">
        <v>6</v>
      </c>
      <c r="B63" s="49" t="s">
        <v>34</v>
      </c>
      <c r="C63" s="50">
        <v>63750.44</v>
      </c>
      <c r="D63" s="51">
        <v>32990.910000000003</v>
      </c>
      <c r="E63" s="51"/>
      <c r="F63" s="51"/>
      <c r="G63" s="51"/>
      <c r="H63" s="51"/>
      <c r="I63" s="48"/>
      <c r="J63" s="48">
        <v>19759.53</v>
      </c>
      <c r="K63" s="48"/>
      <c r="L63" s="48"/>
      <c r="M63" s="48">
        <f t="shared" si="8"/>
        <v>52750.44</v>
      </c>
    </row>
    <row r="64" spans="1:13" x14ac:dyDescent="0.25">
      <c r="A64" s="46">
        <v>7</v>
      </c>
      <c r="B64" s="46" t="s">
        <v>35</v>
      </c>
      <c r="C64" s="47">
        <v>0</v>
      </c>
      <c r="D64" s="48"/>
      <c r="E64" s="48"/>
      <c r="F64" s="48"/>
      <c r="G64" s="48"/>
      <c r="H64" s="48"/>
      <c r="I64" s="48"/>
      <c r="J64" s="48"/>
      <c r="K64" s="48"/>
      <c r="L64" s="48"/>
      <c r="M64" s="48">
        <f t="shared" si="8"/>
        <v>0</v>
      </c>
    </row>
    <row r="65" spans="1:13" x14ac:dyDescent="0.25">
      <c r="A65" s="49">
        <v>8</v>
      </c>
      <c r="B65" s="49" t="s">
        <v>33</v>
      </c>
      <c r="C65" s="50">
        <v>105240</v>
      </c>
      <c r="D65" s="51"/>
      <c r="E65" s="51"/>
      <c r="F65" s="51"/>
      <c r="G65" s="51"/>
      <c r="H65" s="51"/>
      <c r="I65" s="48">
        <v>75000</v>
      </c>
      <c r="J65" s="48"/>
      <c r="K65" s="48"/>
      <c r="L65" s="48"/>
      <c r="M65" s="48">
        <f t="shared" si="8"/>
        <v>75000</v>
      </c>
    </row>
    <row r="66" spans="1:13" x14ac:dyDescent="0.25">
      <c r="A66" s="46">
        <v>9</v>
      </c>
      <c r="B66" s="46" t="s">
        <v>30</v>
      </c>
      <c r="C66" s="47">
        <v>6798.4</v>
      </c>
      <c r="D66" s="48"/>
      <c r="E66" s="48"/>
      <c r="F66" s="48"/>
      <c r="G66" s="48"/>
      <c r="H66" s="48"/>
      <c r="I66" s="48"/>
      <c r="J66" s="48">
        <v>6798.4</v>
      </c>
      <c r="K66" s="48"/>
      <c r="L66" s="48"/>
      <c r="M66" s="48">
        <f t="shared" si="8"/>
        <v>6798.4</v>
      </c>
    </row>
    <row r="67" spans="1:13" x14ac:dyDescent="0.25">
      <c r="A67" s="287" t="s">
        <v>25</v>
      </c>
      <c r="B67" s="288"/>
      <c r="C67" s="52">
        <f>SUBTOTAL(9,C58:C66)</f>
        <v>5207089.080000001</v>
      </c>
      <c r="D67" s="53">
        <f t="shared" ref="D67:L67" si="9">SUBTOTAL(9,D58:D66)</f>
        <v>1010536.5700000001</v>
      </c>
      <c r="E67" s="53">
        <f t="shared" si="9"/>
        <v>117177.5</v>
      </c>
      <c r="F67" s="53">
        <f t="shared" si="9"/>
        <v>301302</v>
      </c>
      <c r="G67" s="53">
        <f t="shared" si="9"/>
        <v>522396.5</v>
      </c>
      <c r="H67" s="53">
        <f t="shared" si="9"/>
        <v>552303.59000000008</v>
      </c>
      <c r="I67" s="53">
        <f t="shared" si="9"/>
        <v>85000</v>
      </c>
      <c r="J67" s="53">
        <f t="shared" si="9"/>
        <v>102483.22999999998</v>
      </c>
      <c r="K67" s="53">
        <f t="shared" si="9"/>
        <v>42530.81</v>
      </c>
      <c r="L67" s="53">
        <f t="shared" si="9"/>
        <v>1936050.58</v>
      </c>
      <c r="M67" s="53">
        <f>M58+M59+M60+M61+M62+M63+M64+M65+M66</f>
        <v>4669780.78</v>
      </c>
    </row>
  </sheetData>
  <mergeCells count="46">
    <mergeCell ref="P7:R7"/>
    <mergeCell ref="A67:B67"/>
    <mergeCell ref="E3:E4"/>
    <mergeCell ref="F3:F4"/>
    <mergeCell ref="G3:G4"/>
    <mergeCell ref="E17:E18"/>
    <mergeCell ref="F17:F18"/>
    <mergeCell ref="G17:G18"/>
    <mergeCell ref="A53:B53"/>
    <mergeCell ref="A55:M55"/>
    <mergeCell ref="A56:A57"/>
    <mergeCell ref="B56:B57"/>
    <mergeCell ref="C56:C57"/>
    <mergeCell ref="D56:D57"/>
    <mergeCell ref="E56:L56"/>
    <mergeCell ref="M56:M57"/>
    <mergeCell ref="A41:M41"/>
    <mergeCell ref="A42:A43"/>
    <mergeCell ref="B42:B43"/>
    <mergeCell ref="C42:C43"/>
    <mergeCell ref="D42:D43"/>
    <mergeCell ref="E42:L42"/>
    <mergeCell ref="M42:M43"/>
    <mergeCell ref="B33:B34"/>
    <mergeCell ref="C33:C34"/>
    <mergeCell ref="D33:D34"/>
    <mergeCell ref="B32:D32"/>
    <mergeCell ref="B31:D31"/>
    <mergeCell ref="A2:M2"/>
    <mergeCell ref="A3:A4"/>
    <mergeCell ref="B3:B4"/>
    <mergeCell ref="C3:C4"/>
    <mergeCell ref="D3:D4"/>
    <mergeCell ref="M3:M4"/>
    <mergeCell ref="H3:H4"/>
    <mergeCell ref="I3:I4"/>
    <mergeCell ref="A28:B28"/>
    <mergeCell ref="A14:B14"/>
    <mergeCell ref="A16:M16"/>
    <mergeCell ref="A17:A18"/>
    <mergeCell ref="B17:B18"/>
    <mergeCell ref="C17:C18"/>
    <mergeCell ref="D17:D18"/>
    <mergeCell ref="M17:M18"/>
    <mergeCell ref="H17:H18"/>
    <mergeCell ref="I17:I18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I11" sqref="I11"/>
    </sheetView>
  </sheetViews>
  <sheetFormatPr baseColWidth="10" defaultRowHeight="15" x14ac:dyDescent="0.25"/>
  <cols>
    <col min="1" max="1" width="3.5703125" bestFit="1" customWidth="1"/>
    <col min="3" max="3" width="16.85546875" customWidth="1"/>
    <col min="4" max="4" width="22.140625" customWidth="1"/>
    <col min="5" max="7" width="19.85546875" customWidth="1"/>
    <col min="9" max="9" width="13" bestFit="1" customWidth="1"/>
  </cols>
  <sheetData>
    <row r="2" spans="1:7" ht="31.5" customHeight="1" x14ac:dyDescent="0.25">
      <c r="A2" s="301" t="s">
        <v>291</v>
      </c>
      <c r="B2" s="301"/>
      <c r="C2" s="301"/>
      <c r="D2" s="301"/>
      <c r="E2" s="301"/>
      <c r="F2" s="301"/>
      <c r="G2" s="301"/>
    </row>
    <row r="3" spans="1:7" ht="41.25" customHeight="1" x14ac:dyDescent="0.25">
      <c r="A3" s="114" t="s">
        <v>210</v>
      </c>
      <c r="B3" s="114" t="s">
        <v>20</v>
      </c>
      <c r="C3" s="114" t="s">
        <v>211</v>
      </c>
      <c r="D3" s="114" t="s">
        <v>212</v>
      </c>
      <c r="E3" s="114" t="s">
        <v>213</v>
      </c>
      <c r="F3" s="114" t="s">
        <v>214</v>
      </c>
      <c r="G3" s="114" t="s">
        <v>215</v>
      </c>
    </row>
    <row r="4" spans="1:7" s="116" customFormat="1" ht="21" customHeight="1" x14ac:dyDescent="0.2">
      <c r="A4" s="115">
        <v>1</v>
      </c>
      <c r="B4" s="70" t="s">
        <v>29</v>
      </c>
      <c r="C4" s="70">
        <v>530813</v>
      </c>
      <c r="D4" s="71" t="s">
        <v>38</v>
      </c>
      <c r="E4" s="76">
        <v>13229.71</v>
      </c>
      <c r="F4" s="76">
        <v>12303.63</v>
      </c>
      <c r="G4" s="120">
        <f>E4-F4</f>
        <v>926.07999999999993</v>
      </c>
    </row>
    <row r="5" spans="1:7" s="116" customFormat="1" ht="21" customHeight="1" x14ac:dyDescent="0.2">
      <c r="A5" s="117">
        <v>2</v>
      </c>
      <c r="B5" s="70" t="s">
        <v>29</v>
      </c>
      <c r="C5" s="70" t="s">
        <v>142</v>
      </c>
      <c r="D5" s="71" t="s">
        <v>63</v>
      </c>
      <c r="E5" s="76">
        <v>466425.45</v>
      </c>
      <c r="F5" s="76">
        <v>455000</v>
      </c>
      <c r="G5" s="120">
        <f t="shared" ref="G5:G27" si="0">E5-F5</f>
        <v>11425.450000000012</v>
      </c>
    </row>
    <row r="6" spans="1:7" s="116" customFormat="1" ht="21" customHeight="1" x14ac:dyDescent="0.2">
      <c r="A6" s="115">
        <v>3</v>
      </c>
      <c r="B6" s="70" t="s">
        <v>33</v>
      </c>
      <c r="C6" s="70">
        <v>530601</v>
      </c>
      <c r="D6" s="71" t="s">
        <v>67</v>
      </c>
      <c r="E6" s="76">
        <v>66964.289999999994</v>
      </c>
      <c r="F6" s="76">
        <v>60900</v>
      </c>
      <c r="G6" s="120">
        <f t="shared" si="0"/>
        <v>6064.2899999999936</v>
      </c>
    </row>
    <row r="7" spans="1:7" s="116" customFormat="1" ht="21" customHeight="1" x14ac:dyDescent="0.2">
      <c r="A7" s="117">
        <v>4</v>
      </c>
      <c r="B7" s="70" t="s">
        <v>34</v>
      </c>
      <c r="C7" s="70">
        <v>530404</v>
      </c>
      <c r="D7" s="71" t="s">
        <v>94</v>
      </c>
      <c r="E7" s="76">
        <v>10715</v>
      </c>
      <c r="F7" s="76">
        <v>9964.9500000000007</v>
      </c>
      <c r="G7" s="120">
        <f t="shared" si="0"/>
        <v>750.04999999999927</v>
      </c>
    </row>
    <row r="8" spans="1:7" s="116" customFormat="1" ht="21" customHeight="1" x14ac:dyDescent="0.2">
      <c r="A8" s="115">
        <v>5</v>
      </c>
      <c r="B8" s="70" t="s">
        <v>29</v>
      </c>
      <c r="C8" s="70">
        <v>530813</v>
      </c>
      <c r="D8" s="71" t="s">
        <v>100</v>
      </c>
      <c r="E8" s="76">
        <v>20789.2</v>
      </c>
      <c r="F8" s="76">
        <v>20372.599999999999</v>
      </c>
      <c r="G8" s="120">
        <f t="shared" si="0"/>
        <v>416.60000000000218</v>
      </c>
    </row>
    <row r="9" spans="1:7" s="116" customFormat="1" ht="21" customHeight="1" x14ac:dyDescent="0.2">
      <c r="A9" s="117">
        <v>6</v>
      </c>
      <c r="B9" s="70" t="s">
        <v>34</v>
      </c>
      <c r="C9" s="90" t="s">
        <v>181</v>
      </c>
      <c r="D9" s="71" t="s">
        <v>115</v>
      </c>
      <c r="E9" s="76">
        <v>18741.169999999998</v>
      </c>
      <c r="F9" s="76">
        <v>15500</v>
      </c>
      <c r="G9" s="120">
        <f t="shared" si="0"/>
        <v>3241.1699999999983</v>
      </c>
    </row>
    <row r="10" spans="1:7" s="116" customFormat="1" ht="21" customHeight="1" x14ac:dyDescent="0.2">
      <c r="A10" s="115">
        <v>7</v>
      </c>
      <c r="B10" s="70" t="s">
        <v>31</v>
      </c>
      <c r="C10" s="70">
        <v>530201</v>
      </c>
      <c r="D10" s="71" t="s">
        <v>117</v>
      </c>
      <c r="E10" s="76">
        <v>190840</v>
      </c>
      <c r="F10" s="76">
        <v>179389.6</v>
      </c>
      <c r="G10" s="120">
        <f t="shared" si="0"/>
        <v>11450.399999999994</v>
      </c>
    </row>
    <row r="11" spans="1:7" s="116" customFormat="1" ht="21" customHeight="1" x14ac:dyDescent="0.2">
      <c r="A11" s="117">
        <v>8</v>
      </c>
      <c r="B11" s="70" t="s">
        <v>21</v>
      </c>
      <c r="C11" s="70">
        <v>570201</v>
      </c>
      <c r="D11" s="71" t="s">
        <v>130</v>
      </c>
      <c r="E11" s="76">
        <v>310988.82</v>
      </c>
      <c r="F11" s="76">
        <v>232083.49</v>
      </c>
      <c r="G11" s="120">
        <f t="shared" si="0"/>
        <v>78905.330000000016</v>
      </c>
    </row>
    <row r="12" spans="1:7" s="116" customFormat="1" ht="21" customHeight="1" x14ac:dyDescent="0.2">
      <c r="A12" s="115">
        <v>9</v>
      </c>
      <c r="B12" s="70" t="s">
        <v>34</v>
      </c>
      <c r="C12" s="70">
        <v>530704</v>
      </c>
      <c r="D12" s="71" t="s">
        <v>134</v>
      </c>
      <c r="E12" s="76">
        <v>18371</v>
      </c>
      <c r="F12" s="76">
        <v>17248</v>
      </c>
      <c r="G12" s="120">
        <f t="shared" si="0"/>
        <v>1123</v>
      </c>
    </row>
    <row r="13" spans="1:7" s="116" customFormat="1" ht="21" customHeight="1" x14ac:dyDescent="0.2">
      <c r="A13" s="117">
        <v>10</v>
      </c>
      <c r="B13" s="70" t="s">
        <v>34</v>
      </c>
      <c r="C13" s="70">
        <v>530813</v>
      </c>
      <c r="D13" s="71" t="s">
        <v>150</v>
      </c>
      <c r="E13" s="76">
        <v>33863</v>
      </c>
      <c r="F13" s="76">
        <v>33000</v>
      </c>
      <c r="G13" s="120">
        <f t="shared" si="0"/>
        <v>863</v>
      </c>
    </row>
    <row r="14" spans="1:7" ht="21" customHeight="1" x14ac:dyDescent="0.25">
      <c r="A14" s="115">
        <v>11</v>
      </c>
      <c r="B14" s="70" t="s">
        <v>29</v>
      </c>
      <c r="C14" s="70">
        <v>530410</v>
      </c>
      <c r="D14" s="71" t="s">
        <v>152</v>
      </c>
      <c r="E14" s="76">
        <v>71370.7</v>
      </c>
      <c r="F14" s="76">
        <v>70656.990000000005</v>
      </c>
      <c r="G14" s="120">
        <f t="shared" si="0"/>
        <v>713.70999999999185</v>
      </c>
    </row>
    <row r="15" spans="1:7" ht="21" customHeight="1" x14ac:dyDescent="0.25">
      <c r="A15" s="117">
        <v>12</v>
      </c>
      <c r="B15" s="70" t="s">
        <v>33</v>
      </c>
      <c r="C15" s="70">
        <v>530810</v>
      </c>
      <c r="D15" s="71" t="s">
        <v>155</v>
      </c>
      <c r="E15" s="76">
        <v>27000</v>
      </c>
      <c r="F15" s="76">
        <v>18500</v>
      </c>
      <c r="G15" s="120">
        <f t="shared" si="0"/>
        <v>8500</v>
      </c>
    </row>
    <row r="16" spans="1:7" ht="21" customHeight="1" x14ac:dyDescent="0.25">
      <c r="A16" s="115">
        <v>13</v>
      </c>
      <c r="B16" s="70" t="s">
        <v>35</v>
      </c>
      <c r="C16" s="70">
        <v>530704</v>
      </c>
      <c r="D16" s="71" t="s">
        <v>157</v>
      </c>
      <c r="E16" s="76">
        <v>21500</v>
      </c>
      <c r="F16" s="76">
        <v>20210</v>
      </c>
      <c r="G16" s="120">
        <f t="shared" si="0"/>
        <v>1290</v>
      </c>
    </row>
    <row r="17" spans="1:7" ht="21" customHeight="1" x14ac:dyDescent="0.25">
      <c r="A17" s="117">
        <v>14</v>
      </c>
      <c r="B17" s="70" t="s">
        <v>34</v>
      </c>
      <c r="C17" s="70">
        <v>530813</v>
      </c>
      <c r="D17" s="71" t="s">
        <v>159</v>
      </c>
      <c r="E17" s="76">
        <v>26783</v>
      </c>
      <c r="F17" s="76">
        <v>25982</v>
      </c>
      <c r="G17" s="120">
        <f t="shared" si="0"/>
        <v>801</v>
      </c>
    </row>
    <row r="18" spans="1:7" ht="21" customHeight="1" x14ac:dyDescent="0.25">
      <c r="A18" s="115">
        <v>15</v>
      </c>
      <c r="B18" s="70" t="s">
        <v>29</v>
      </c>
      <c r="C18" s="70">
        <v>530410</v>
      </c>
      <c r="D18" s="71" t="s">
        <v>161</v>
      </c>
      <c r="E18" s="76">
        <v>26500</v>
      </c>
      <c r="F18" s="76">
        <v>24645</v>
      </c>
      <c r="G18" s="120">
        <f t="shared" si="0"/>
        <v>1855</v>
      </c>
    </row>
    <row r="19" spans="1:7" ht="21" customHeight="1" x14ac:dyDescent="0.25">
      <c r="A19" s="117">
        <v>16</v>
      </c>
      <c r="B19" s="70" t="s">
        <v>28</v>
      </c>
      <c r="C19" s="70">
        <v>530803</v>
      </c>
      <c r="D19" s="71" t="s">
        <v>171</v>
      </c>
      <c r="E19" s="76">
        <v>38900</v>
      </c>
      <c r="F19" s="76">
        <v>38897</v>
      </c>
      <c r="G19" s="120">
        <f t="shared" si="0"/>
        <v>3</v>
      </c>
    </row>
    <row r="20" spans="1:7" ht="21" customHeight="1" x14ac:dyDescent="0.25">
      <c r="A20" s="115">
        <v>17</v>
      </c>
      <c r="B20" s="70" t="s">
        <v>29</v>
      </c>
      <c r="C20" s="70">
        <v>531406</v>
      </c>
      <c r="D20" s="71" t="s">
        <v>173</v>
      </c>
      <c r="E20" s="76">
        <v>9391.43</v>
      </c>
      <c r="F20" s="76">
        <v>8390</v>
      </c>
      <c r="G20" s="120">
        <f t="shared" si="0"/>
        <v>1001.4300000000003</v>
      </c>
    </row>
    <row r="21" spans="1:7" ht="21" customHeight="1" x14ac:dyDescent="0.25">
      <c r="A21" s="117">
        <v>18</v>
      </c>
      <c r="B21" s="70" t="s">
        <v>28</v>
      </c>
      <c r="C21" s="70">
        <v>530802</v>
      </c>
      <c r="D21" s="71" t="s">
        <v>177</v>
      </c>
      <c r="E21" s="76">
        <v>2410690.37</v>
      </c>
      <c r="F21" s="76">
        <v>2408628.9</v>
      </c>
      <c r="G21" s="120">
        <f t="shared" si="0"/>
        <v>2061.4700000002049</v>
      </c>
    </row>
    <row r="22" spans="1:7" ht="21" customHeight="1" x14ac:dyDescent="0.25">
      <c r="A22" s="115">
        <v>19</v>
      </c>
      <c r="B22" s="70" t="s">
        <v>28</v>
      </c>
      <c r="C22" s="70">
        <v>530803</v>
      </c>
      <c r="D22" s="71" t="s">
        <v>187</v>
      </c>
      <c r="E22" s="76">
        <v>35981.160000000003</v>
      </c>
      <c r="F22" s="76">
        <v>33462.480000000003</v>
      </c>
      <c r="G22" s="120">
        <f t="shared" si="0"/>
        <v>2518.6800000000003</v>
      </c>
    </row>
    <row r="23" spans="1:7" ht="21" customHeight="1" x14ac:dyDescent="0.25">
      <c r="A23" s="117">
        <v>20</v>
      </c>
      <c r="B23" s="70" t="s">
        <v>34</v>
      </c>
      <c r="C23" s="70">
        <v>530504</v>
      </c>
      <c r="D23" s="71" t="s">
        <v>191</v>
      </c>
      <c r="E23" s="76">
        <v>9821.43</v>
      </c>
      <c r="F23" s="76">
        <v>5900</v>
      </c>
      <c r="G23" s="120">
        <f t="shared" si="0"/>
        <v>3921.4300000000003</v>
      </c>
    </row>
    <row r="24" spans="1:7" ht="21" customHeight="1" x14ac:dyDescent="0.25">
      <c r="A24" s="115">
        <v>21</v>
      </c>
      <c r="B24" s="70" t="s">
        <v>29</v>
      </c>
      <c r="C24" s="70">
        <v>530813</v>
      </c>
      <c r="D24" s="71" t="s">
        <v>209</v>
      </c>
      <c r="E24" s="76">
        <v>31002</v>
      </c>
      <c r="F24" s="76">
        <v>29296.89</v>
      </c>
      <c r="G24" s="120">
        <f t="shared" si="0"/>
        <v>1705.1100000000006</v>
      </c>
    </row>
    <row r="25" spans="1:7" ht="21" customHeight="1" x14ac:dyDescent="0.25">
      <c r="A25" s="117">
        <v>22</v>
      </c>
      <c r="B25" s="70" t="s">
        <v>29</v>
      </c>
      <c r="C25" s="70">
        <v>530410</v>
      </c>
      <c r="D25" s="71" t="s">
        <v>218</v>
      </c>
      <c r="E25" s="76">
        <v>53120</v>
      </c>
      <c r="F25" s="76">
        <v>47000</v>
      </c>
      <c r="G25" s="120">
        <f t="shared" si="0"/>
        <v>6120</v>
      </c>
    </row>
    <row r="26" spans="1:7" ht="21" customHeight="1" x14ac:dyDescent="0.25">
      <c r="A26" s="115">
        <v>23</v>
      </c>
      <c r="B26" s="70" t="s">
        <v>31</v>
      </c>
      <c r="C26" s="70">
        <v>530811</v>
      </c>
      <c r="D26" s="71" t="s">
        <v>221</v>
      </c>
      <c r="E26" s="76">
        <v>7517.11</v>
      </c>
      <c r="F26" s="76">
        <v>6360</v>
      </c>
      <c r="G26" s="120">
        <f t="shared" si="0"/>
        <v>1157.1099999999997</v>
      </c>
    </row>
    <row r="27" spans="1:7" ht="21" customHeight="1" x14ac:dyDescent="0.25">
      <c r="A27" s="117">
        <v>24</v>
      </c>
      <c r="B27" s="70" t="s">
        <v>30</v>
      </c>
      <c r="C27" s="70">
        <v>530811</v>
      </c>
      <c r="D27" s="72" t="s">
        <v>232</v>
      </c>
      <c r="E27" s="76">
        <v>31174.15</v>
      </c>
      <c r="F27" s="76">
        <v>29459.57</v>
      </c>
      <c r="G27" s="120">
        <f t="shared" si="0"/>
        <v>1714.5800000000017</v>
      </c>
    </row>
    <row r="28" spans="1:7" ht="21" customHeight="1" x14ac:dyDescent="0.25">
      <c r="A28" s="115">
        <v>25</v>
      </c>
      <c r="B28" s="70" t="s">
        <v>29</v>
      </c>
      <c r="C28" s="70">
        <v>530813</v>
      </c>
      <c r="D28" s="118" t="s">
        <v>223</v>
      </c>
      <c r="E28" s="119">
        <v>1488173.78</v>
      </c>
      <c r="F28" s="119">
        <v>1358694.02</v>
      </c>
      <c r="G28" s="120">
        <f>E28-F28</f>
        <v>129479.76000000001</v>
      </c>
    </row>
    <row r="29" spans="1:7" x14ac:dyDescent="0.25">
      <c r="B29" s="302" t="s">
        <v>25</v>
      </c>
      <c r="C29" s="302"/>
      <c r="D29" s="302"/>
      <c r="E29" s="151">
        <f t="shared" ref="E29:F29" si="1">SUM(E4:E28)</f>
        <v>5439852.7700000005</v>
      </c>
      <c r="F29" s="151">
        <f t="shared" si="1"/>
        <v>5161845.12</v>
      </c>
      <c r="G29" s="151">
        <f>SUM(G4:G28)</f>
        <v>278007.6500000002</v>
      </c>
    </row>
  </sheetData>
  <mergeCells count="2">
    <mergeCell ref="A2:G2"/>
    <mergeCell ref="B29:D29"/>
  </mergeCells>
  <hyperlinks>
    <hyperlink ref="D28" r:id="rId1" display="https://www.compraspublicas.gob.ec/ProcesoContratacion/compras/PC/informacionProcesoContratacion2.cpe?idSoliCompra=CXUVupnGmV-ikitPrsh9GxNhubTfOkMvbhBKEMk89xI,"/>
    <hyperlink ref="D4" r:id="rId2" display="https://www.compraspublicas.gob.ec/ProcesoContratacion/compras/PC/informacionProcesoContratacion2.cpe?idSoliCompra=CXUVupnGmV-ikitPrsh9GxNhubTfOkMvbhBKEMk89xI,"/>
    <hyperlink ref="D5" r:id="rId3" display="https://www.compraspublicas.gob.ec/ProcesoContratacion/compras/PC/informacionProcesoContratacion2.cpe?idSoliCompra=oXlWtexDSUvIQAHfqPkVzycykxJL3R-el-Ptw81-dYw,"/>
    <hyperlink ref="D6" r:id="rId4" display="https://www.compraspublicas.gob.ec/ProcesoContratacion/compras/PC/informacionProcesoContratacion2.cpe?idSoliCompra=TGoKUXDaK5c9tVdSOHNZUySL8KF119f7qerjZmwU5eg,"/>
    <hyperlink ref="D7" r:id="rId5" display="https://www.compraspublicas.gob.ec/ProcesoContratacion/compras/PC/informacionProcesoContratacion2.cpe?idSoliCompra=kmFG2YsDG3EdOfsaO8u2fWJI9PfykONsSVcDe2jFg2g,"/>
    <hyperlink ref="D8" r:id="rId6" display="https://www.compraspublicas.gob.ec/ProcesoContratacion/compras/PC/informacionProcesoContratacion2.cpe?idSoliCompra=7h-D9H89-hvWHDVer3Z2ryxE1I7BrauflVa4GKorz5M,"/>
    <hyperlink ref="D9" r:id="rId7" display="https://www.compraspublicas.gob.ec/ProcesoContratacion/compras/PC/informacionProcesoContratacion2.cpe?idSoliCompra=LcGI1Ouhh0vlQFb3z00pRP9yxqMfYBHDkfKzPCSxqVs,"/>
    <hyperlink ref="D10" r:id="rId8" display="https://www.compraspublicas.gob.ec/ProcesoContratacion/compras/PC/informacionProcesoContratacion2.cpe?idSoliCompra=MSjp68OkCchgatGKq5kS53G2O-YyN5HT899rTNihGFk,"/>
    <hyperlink ref="D11" r:id="rId9" display="https://www.compraspublicas.gob.ec/ProcesoContratacion/compras/PC/informacionProcesoContratacion2.cpe?idSoliCompra=--idZMzShK1NeQNxj5ycRnAidCsvPdw4FazZMhEt2lw,"/>
    <hyperlink ref="D12" r:id="rId10" display="https://www.compraspublicas.gob.ec/ProcesoContratacion/compras/PC/informacionProcesoContratacion2.cpe?idSoliCompra=hARvq284byLvGnC3aSBwIm1Y5n5hPz3Ys7qXb38W7sE,"/>
    <hyperlink ref="D13" r:id="rId11" display="https://www.compraspublicas.gob.ec/ProcesoContratacion/compras/SC/sci.cpe?idSoliCompra=cAY9sxH65_YBicckGS0_bdSoooGqvdoXQf9LNlOSwaM,"/>
    <hyperlink ref="D14" r:id="rId12" display="https://www.compraspublicas.gob.ec/ProcesoContratacion/compras/SC/sci.cpe?idSoliCompra=2lYqchHquMShgu0T_IjPfBFPPq_w2fhof4x-JP7QFZQ,"/>
    <hyperlink ref="D15" r:id="rId13" display="https://www.compraspublicas.gob.ec/ProcesoContratacion/compras/PC/informacionProcesoContratacion2.cpe?idSoliCompra=dwUFZymuPLadUfzXrnrom2SSGQ85uPDPwBoqBSXK2P0,"/>
    <hyperlink ref="D16" r:id="rId14" display="https://www.compraspublicas.gob.ec/ProcesoContratacion/compras/PC/informacionProcesoContratacion2.cpe?idSoliCompra=eFJA_T2HbsJMPhQTCaz5SWwxjavLSilf4SQsFHPzHS8,"/>
    <hyperlink ref="D17" r:id="rId15" display="https://www.compraspublicas.gob.ec/ProcesoContratacion/compras/PC/informacionProcesoContratacion2.cpe?idSoliCompra=BTNYkboFULvHyE0EfA7vaARrp6aENPy8frwH-vLoUmA,"/>
    <hyperlink ref="D18" r:id="rId16" display="https://www.compraspublicas.gob.ec/ProcesoContratacion/compras/PC/informacionProcesoContratacion2.cpe?idSoliCompra=NJxVypgSXd0UIDu5nqv-cC-RS089Pj9cBGVhe3UjAMg,"/>
    <hyperlink ref="D19" r:id="rId17" display="https://www.compraspublicas.gob.ec/ProcesoContratacion/compras/PC/informacionProcesoContratacion2.cpe?idSoliCompra=_F1A6MUC9SUx_MVv3Abv-zkqprOM4Zx7O_-shpSgeSo,"/>
    <hyperlink ref="D20" r:id="rId18" display="https://www.compraspublicas.gob.ec/ProcesoContratacion/compras/PC/informacionProcesoContratacion2.cpe?idSoliCompra=4GoWTMY9dE1jjIBZz1CHUCUQ9Bpnh6YyCbEl6EOO_ic,"/>
    <hyperlink ref="D21" r:id="rId19" display="https://www.compraspublicas.gob.ec/ProcesoContratacion/compras/PC/informacionProcesoContratacion2.cpe?idSoliCompra=K7XWGLEpbQo2gSl5dbIJNM6GCWUCcBEtbuqFLbZjGJY,"/>
    <hyperlink ref="D22" r:id="rId20" display="https://www.compraspublicas.gob.ec/ProcesoContratacion/compras/PC/informacionProcesoContratacion2.cpe?idSoliCompra=aD3iHEYQykvt-WXmFJ8Fq_iZQNJjA1oej9fGLXBg9tQ,"/>
    <hyperlink ref="D23" r:id="rId21" display="https://www.compraspublicas.gob.ec/ProcesoContratacion/compras/PC/informacionProcesoContratacion2.cpe?idSoliCompra=I7piuVIk1jbdxWqR13Ar8PSNFyJ0UylSFPgScib9qUs,"/>
    <hyperlink ref="D24" r:id="rId22" display="https://www.compraspublicas.gob.ec/ProcesoContratacion/compras/PC/informacionProcesoContratacion2.cpe?idSoliCompra=vUELR3ZPbqLbmTX-nfksMuaocaDOowTDhnk79vLqiYQ,"/>
    <hyperlink ref="D25" r:id="rId23" display="https://www.compraspublicas.gob.ec/ProcesoContratacion/compras/PC/informacionProcesoContratacion2.cpe?idSoliCompra=czm6U3FMrEt9ZVceZPue--ENPdny3O6bvtWgRfxsRYc,"/>
    <hyperlink ref="D26" r:id="rId24" display="https://www.compraspublicas.gob.ec/ProcesoContratacion/compras/PC/informacionProcesoContratacion2.cpe?idSoliCompra=JK5ceDojvOWxcDlm8tIP1AEZLwYWTpg2e1eZvOec5hE,"/>
    <hyperlink ref="D27" r:id="rId25" display="https://www.compraspublicas.gob.ec/ProcesoContratacion/compras/PC/informacionProcesoContratacion2.cpe?idSoliCompra=nggoO0e0PY8SP7gxN5sZAssP__hTde9Z7XijWiLMUpc,"/>
  </hyperlinks>
  <pageMargins left="0.7" right="0.7" top="0.75" bottom="0.75" header="0.3" footer="0.3"/>
  <pageSetup paperSize="9" scale="75" orientation="portrait" r:id="rId2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PROCESOS SOCE</vt:lpstr>
      <vt:lpstr>RESUMEN EJECUTIVO FINAL</vt:lpstr>
      <vt:lpstr>AHORROS ACTUALIZADOS</vt:lpstr>
      <vt:lpstr>CUADRO DE PROCESOS</vt:lpstr>
      <vt:lpstr>Hoja3</vt:lpstr>
      <vt:lpstr>AHORROS</vt:lpstr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COGUAR-FIN-003</cp:lastModifiedBy>
  <cp:lastPrinted>2021-06-14T19:41:58Z</cp:lastPrinted>
  <dcterms:created xsi:type="dcterms:W3CDTF">2017-08-24T16:53:02Z</dcterms:created>
  <dcterms:modified xsi:type="dcterms:W3CDTF">2022-04-05T19:13:59Z</dcterms:modified>
</cp:coreProperties>
</file>